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codeName="{AE6600E7-7A62-396C-DE95-9942FA9DD81E}"/>
  <workbookPr codeName="ThisWorkbook"/>
  <mc:AlternateContent xmlns:mc="http://schemas.openxmlformats.org/markup-compatibility/2006">
    <mc:Choice Requires="x15">
      <x15ac:absPath xmlns:x15ac="http://schemas.microsoft.com/office/spreadsheetml/2010/11/ac" url="https://cedelft.sharepoint.com/sites/200156/Gedeelde documenten/"/>
    </mc:Choice>
  </mc:AlternateContent>
  <xr:revisionPtr revIDLastSave="39" documentId="8_{695EA929-996A-46F2-B388-2369717D5EB6}" xr6:coauthVersionLast="47" xr6:coauthVersionMax="47" xr10:uidLastSave="{5BBBD415-A57B-4F92-A2EF-B5B26492AF98}"/>
  <bookViews>
    <workbookView xWindow="-120" yWindow="-120" windowWidth="29040" windowHeight="15720" tabRatio="878" xr2:uid="{00000000-000D-0000-FFFF-FFFF00000000}"/>
  </bookViews>
  <sheets>
    <sheet name="1. Introductie" sheetId="3" r:id="rId1"/>
    <sheet name="2. Transport en voorbewerking" sheetId="4" r:id="rId2"/>
    <sheet name="3. Bewerking" sheetId="1" r:id="rId3"/>
    <sheet name="4. Resultaten" sheetId="6" r:id="rId4"/>
    <sheet name="5. Uitgebreide resultaten" sheetId="9" r:id="rId5"/>
    <sheet name="Kengetallen" sheetId="5" state="veryHidden" r:id="rId6"/>
    <sheet name="Achtergrond" sheetId="8" state="veryHidden" r:id="rId7"/>
    <sheet name="Logboek" sheetId="10" state="veryHidden" r:id="rId8"/>
  </sheets>
  <externalReferences>
    <externalReference r:id="rId9"/>
  </externalReferences>
  <definedNames>
    <definedName name="beschikbaarheid_windNL">[1]DropDowns!$AB$17</definedName>
    <definedName name="beschikbaarheid_zonES">[1]DropDowns!$AC$17</definedName>
    <definedName name="CAPEX_h2_leiding">'[1]Kenmerken technologien'!$D$62</definedName>
    <definedName name="cb_alternatief">Achtergrond!$E$271</definedName>
    <definedName name="cb_bokashi">Achtergrond!$E$265</definedName>
    <definedName name="cb_compostering">Achtergrond!$E$267</definedName>
    <definedName name="cb_hergebruik">Achtergrond!$E$272</definedName>
    <definedName name="cb_hout_bio">Achtergrond!$E$262</definedName>
    <definedName name="cb_klein_kring">Achtergrond!$E$266</definedName>
    <definedName name="cb_maai_cogist">Achtergrond!$E$263</definedName>
    <definedName name="cb_maai_gftgist">Achtergrond!$E$264</definedName>
    <definedName name="cb_residu">Achtergrond!$E$270</definedName>
    <definedName name="cb_rwzi">Achtergrond!$E$269</definedName>
    <definedName name="cb_zeefgrond">Achtergrond!$E$268</definedName>
    <definedName name="cell_alternatief">'2. Transport en voorbewerking'!$D$44</definedName>
    <definedName name="cell_bokashi">'2. Transport en voorbewerking'!$D$36</definedName>
    <definedName name="cell_compostering">'2. Transport en voorbewerking'!$D$38</definedName>
    <definedName name="cell_hergebruik">'2. Transport en voorbewerking'!$D$43</definedName>
    <definedName name="cell_hout_bio">'2. Transport en voorbewerking'!$D$33</definedName>
    <definedName name="cell_klein_kring">'2. Transport en voorbewerking'!$D$37</definedName>
    <definedName name="cell_maai_cogist">'2. Transport en voorbewerking'!$D$34</definedName>
    <definedName name="cell_maai_cogist_afstand">'2. Transport en voorbewerking'!$G$34</definedName>
    <definedName name="cell_maai_gftgist">'2. Transport en voorbewerking'!$D$35</definedName>
    <definedName name="cell_residu">'2. Transport en voorbewerking'!$D$42</definedName>
    <definedName name="cell_rwzi">'2. Transport en voorbewerking'!$D$41</definedName>
    <definedName name="cell_zeefgrond">'2. Transport en voorbewerking'!$D$40</definedName>
    <definedName name="criterium1">Achtergrond!$C$240</definedName>
    <definedName name="criterium2">Achtergrond!$C$241</definedName>
    <definedName name="criterium3">Achtergrond!$C$242</definedName>
    <definedName name="criterium4">Achtergrond!$C$243</definedName>
    <definedName name="dollar2euro">[1]Parameters!$P$5</definedName>
    <definedName name="draaiuren">[1]Parameters!$C$4</definedName>
    <definedName name="eff_autotank">'[1]Kenmerken technologien'!#REF!</definedName>
    <definedName name="eff_brandstofcel">'[1]Kenmerken technologien'!$D$111</definedName>
    <definedName name="eff_chem">'[1]Kenmerken technologien'!$E$29</definedName>
    <definedName name="eff_comp">'[1]Kenmerken technologien'!$D$41</definedName>
    <definedName name="eff_compr_rs">'[1]Kenmerken technologien'!#REF!</definedName>
    <definedName name="eff_crycompr_rs">'[1]Kenmerken technologien'!#REF!</definedName>
    <definedName name="eff_elektromotor">'[1]Kenmerken technologien'!$E$111</definedName>
    <definedName name="eff_fc">'[1]Kenmerken technologien'!#REF!</definedName>
    <definedName name="eff_h2_compressie_700bar">'[1]Kenmerken technologien'!$E$41</definedName>
    <definedName name="eff_H2_opslag_700bar">'[1]Kenmerken technologien'!$D$100</definedName>
    <definedName name="eff_H2_opslag_liq">'[1]Kenmerken technologien'!$E$100</definedName>
    <definedName name="eff_H2_tankwagen_gas">'[1]Kenmerken technologien'!$D$76</definedName>
    <definedName name="eff_H2_tankwagen_liq">'[1]Kenmerken technologien'!$E$76</definedName>
    <definedName name="eff_liq_h2">'[1]Kenmerken technologien'!$D$52</definedName>
    <definedName name="eff_liq_LNG">'[1]Kenmerken technologien'!$E$52</definedName>
    <definedName name="eff_opsl_liqh2">'[1]Kenmerken technologien'!#REF!</definedName>
    <definedName name="eff_pem">'[1]Kenmerken technologien'!$D$14</definedName>
    <definedName name="eff_pem_LHV">'[1]Kenmerken technologien'!#REF!</definedName>
    <definedName name="eff_pipeline_gas">'[1]Kenmerken technologien'!$H$111</definedName>
    <definedName name="eprijsES">[1]Parameters!$C$12</definedName>
    <definedName name="eprijsNL">[1]Parameters!$C$11</definedName>
    <definedName name="H2loss_tankwagen_liq">'[1]Kenmerken technologien'!$E$77</definedName>
    <definedName name="HHV_ch4_kg">[1]Parameters!$S$45</definedName>
    <definedName name="HHV_ch4_m3">[1]Parameters!$P$45</definedName>
    <definedName name="HHV_h2_kg">[1]Parameters!$S$32</definedName>
    <definedName name="Hide_AF_FFR">#REF!</definedName>
    <definedName name="input_el_H2optie1">#REF!</definedName>
    <definedName name="IRR">'[1]Kenmerken technologien'!$C$5</definedName>
    <definedName name="IRR_gas">'[1]Kenmerken technologien'!$F$5</definedName>
    <definedName name="ktonpjNH3">'[1]2e NH3 ES'!$AM$14</definedName>
    <definedName name="kWh2MJ">[1]Parameters!$P$4</definedName>
    <definedName name="LHV_ch4_m3">[1]Parameters!$P$30</definedName>
    <definedName name="M_ch4">[1]Parameters!$P$43</definedName>
    <definedName name="M_co2">[1]Parameters!$P$41</definedName>
    <definedName name="M_h2">[1]Parameters!$P$40</definedName>
    <definedName name="M_h2o">[1]Parameters!$P$39</definedName>
    <definedName name="M_o2">[1]Parameters!$P$44</definedName>
    <definedName name="MainList">INDEX(#REF!,1):INDEX(#REF!,COUNTA(#REF!))</definedName>
    <definedName name="naam_bedrijf">'1. Introductie'!$D$28</definedName>
    <definedName name="OPEX_Chem">'[1]Kenmerken technologien'!$E$35</definedName>
    <definedName name="output_MWh_h2">[1]Parameters!#REF!</definedName>
    <definedName name="prijs_el">[1]Parameters!$C$8</definedName>
    <definedName name="prijs_GvO_mean">[1]Parameters!#REF!</definedName>
    <definedName name="prijs_ontzilting_m3">'[1]Kenmerken technologien'!$D$127</definedName>
    <definedName name="prijs_water">[1]Parameters!$C$18</definedName>
    <definedName name="prijsCO2">[1]Parameters!$C$19</definedName>
    <definedName name="Radio_Choice">#REF!</definedName>
    <definedName name="rho_ch4">[1]Parameters!$P$33</definedName>
    <definedName name="rho_co2">[1]Parameters!$P$38</definedName>
    <definedName name="rho_h2">[1]Parameters!$P$34</definedName>
    <definedName name="rho_h20_L">[1]Parameters!$S$36</definedName>
    <definedName name="rho_h20_m3">[1]Parameters!$P$36</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500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ngC_Scr_Hide">#REF!</definedName>
    <definedName name="rngC_Scr_Shown">#REF!</definedName>
    <definedName name="rngComm">#REF!</definedName>
    <definedName name="rngCommentScreenShown">#REF!</definedName>
    <definedName name="rngCommentsScreenHide">#REF!</definedName>
    <definedName name="rngCommentsScreenOriginalText">#REF!</definedName>
    <definedName name="rngCommentsScreenOriginalTitle">#REF!</definedName>
    <definedName name="rngHelpScreenHide">#REF!</definedName>
    <definedName name="rngNew">#REF!</definedName>
    <definedName name="std_OPEX">'[1]Kenmerken technologien'!$C$7</definedName>
    <definedName name="STEG_draaiuren">[1]DropDowns!$AB$16</definedName>
    <definedName name="SubList">IF(OR(#REF!="Choose…",#REF!=""),"",INDEX(#REF!,1,MATCH(#REF!,#REF!,0)):INDEX(#REF!,COUNTA(INDEX(#REF!,,MATCH(#REF!,#REF!,0))),MATCH(#REF!,#REF!,0)))</definedName>
    <definedName name="totaal_groenafval">'2. Transport en voorbewerking'!$C$7</definedName>
    <definedName name="totale_energievraag_output">[1]Parameters!#REF!</definedName>
    <definedName name="verl_h2leiding">'[1]Kenmerken technologien'!$D$61</definedName>
    <definedName name="verl_h2schip">'[1]Kenmerken technologien'!$D$69</definedName>
    <definedName name="verl_LNGschip">'[1]Kenmerken technologien'!$F$69</definedName>
    <definedName name="verl_var_transformatie_HVAC">'[1]Kenmerken technologien'!$D$85</definedName>
    <definedName name="verl_var_transformatie_HVDC">'[1]Kenmerken technologien'!$D$93</definedName>
    <definedName name="verl_vast_transformatie_HVAC">'[1]Kenmerken technologien'!$D$84</definedName>
    <definedName name="verl_vast_transformatie_HVDC">'[1]Kenmerken technologien'!$D$92</definedName>
    <definedName name="vol_water_h2optie1">'[1]H2-keten - Elektrolyse'!$C$7</definedName>
    <definedName name="wb">'[1]Kenmerken technologien'!$C$9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 l="1"/>
  <c r="C106" i="8" l="1"/>
  <c r="V236" i="8"/>
  <c r="E19" i="5" s="1"/>
  <c r="F19" i="5" s="1"/>
  <c r="L236" i="8"/>
  <c r="V179" i="8"/>
  <c r="F44" i="8" l="1"/>
  <c r="E50" i="5" l="1"/>
  <c r="C76" i="5"/>
  <c r="E22" i="5"/>
  <c r="C52" i="1"/>
  <c r="V177" i="8" s="1"/>
  <c r="E57" i="5" s="1"/>
  <c r="F57" i="5" s="1"/>
  <c r="C40" i="1"/>
  <c r="I44" i="4"/>
  <c r="I43" i="4"/>
  <c r="I42" i="4"/>
  <c r="I41" i="4"/>
  <c r="I40" i="4"/>
  <c r="I39" i="4"/>
  <c r="I38" i="4"/>
  <c r="I37" i="4"/>
  <c r="I36" i="4"/>
  <c r="I35" i="4"/>
  <c r="I34" i="4"/>
  <c r="I33" i="4"/>
  <c r="E33" i="4"/>
  <c r="V170" i="8"/>
  <c r="V172" i="8"/>
  <c r="V171" i="8"/>
  <c r="E53" i="5" s="1"/>
  <c r="F53" i="5" s="1"/>
  <c r="D54" i="5"/>
  <c r="E54" i="5" l="1"/>
  <c r="F54" i="5" s="1"/>
  <c r="E35" i="8" l="1"/>
  <c r="H43" i="4"/>
  <c r="E43" i="4"/>
  <c r="B53" i="9"/>
  <c r="C63" i="8"/>
  <c r="C60" i="8"/>
  <c r="C54" i="8"/>
  <c r="C51" i="8"/>
  <c r="E60" i="5"/>
  <c r="E245" i="8" l="1"/>
  <c r="C34" i="1" l="1"/>
  <c r="C81" i="8"/>
  <c r="V139" i="8"/>
  <c r="V140" i="8"/>
  <c r="C37" i="1" l="1"/>
  <c r="C8" i="1"/>
  <c r="C104" i="8" l="1"/>
  <c r="C103" i="8"/>
  <c r="C102" i="8"/>
  <c r="C97" i="8"/>
  <c r="C98" i="8"/>
  <c r="C94" i="8"/>
  <c r="C87" i="8"/>
  <c r="L148" i="8"/>
  <c r="C18" i="8"/>
  <c r="C12" i="8"/>
  <c r="L234" i="8"/>
  <c r="L228" i="8"/>
  <c r="E27" i="8"/>
  <c r="E28" i="8"/>
  <c r="E29" i="8"/>
  <c r="E30" i="8"/>
  <c r="E31" i="8"/>
  <c r="E32" i="8"/>
  <c r="E33" i="8"/>
  <c r="E34" i="8"/>
  <c r="E36" i="8"/>
  <c r="C4" i="8"/>
  <c r="E26" i="8"/>
  <c r="E41" i="4"/>
  <c r="H40" i="4"/>
  <c r="H34" i="4"/>
  <c r="H35" i="4"/>
  <c r="H36" i="4"/>
  <c r="H37" i="4"/>
  <c r="H39" i="4"/>
  <c r="H42" i="4"/>
  <c r="H44" i="4"/>
  <c r="H33" i="4"/>
  <c r="B181" i="8" l="1"/>
  <c r="B9" i="9" l="1"/>
  <c r="B8" i="9"/>
  <c r="P194" i="8" l="1"/>
  <c r="L194" i="8"/>
  <c r="V225" i="8" l="1"/>
  <c r="V218" i="8"/>
  <c r="V216" i="8"/>
  <c r="V214" i="8"/>
  <c r="V212" i="8"/>
  <c r="V210" i="8"/>
  <c r="L218" i="8"/>
  <c r="E246" i="8" l="1"/>
  <c r="L143" i="8"/>
  <c r="B9" i="6" l="1"/>
  <c r="C57" i="3"/>
  <c r="B247" i="8"/>
  <c r="C60" i="3"/>
  <c r="B11" i="6"/>
  <c r="B248" i="8"/>
  <c r="E44" i="4"/>
  <c r="E42" i="4"/>
  <c r="E40" i="4"/>
  <c r="E38" i="4"/>
  <c r="E37" i="4"/>
  <c r="E36" i="4"/>
  <c r="E35" i="4"/>
  <c r="E34" i="4"/>
  <c r="L175" i="8" l="1"/>
  <c r="L176" i="8"/>
  <c r="C10" i="4" l="1"/>
  <c r="F22" i="6" l="1"/>
  <c r="C7" i="6"/>
  <c r="C6" i="6"/>
  <c r="C5" i="6"/>
  <c r="L232" i="8"/>
  <c r="L235" i="8"/>
  <c r="L231" i="8"/>
  <c r="L230" i="8"/>
  <c r="L229" i="8"/>
  <c r="P206" i="8"/>
  <c r="P219" i="8"/>
  <c r="P227" i="8"/>
  <c r="L227" i="8"/>
  <c r="L226" i="8"/>
  <c r="L219" i="8"/>
  <c r="L207" i="8"/>
  <c r="L223" i="8"/>
  <c r="L222" i="8"/>
  <c r="L221" i="8"/>
  <c r="D63" i="5" l="1"/>
  <c r="C87" i="1" l="1"/>
  <c r="C94" i="1"/>
  <c r="C95" i="1"/>
  <c r="C97" i="1"/>
  <c r="C98" i="1"/>
  <c r="C100" i="1"/>
  <c r="C101" i="1"/>
  <c r="C103" i="1"/>
  <c r="C104" i="1"/>
  <c r="C106" i="1"/>
  <c r="C107" i="1"/>
  <c r="C110" i="1"/>
  <c r="C111" i="1"/>
  <c r="C114" i="1"/>
  <c r="C121" i="1"/>
  <c r="C122" i="1"/>
  <c r="C124" i="1"/>
  <c r="C125" i="1"/>
  <c r="F21" i="6" l="1"/>
  <c r="F20" i="6"/>
  <c r="F19" i="6"/>
  <c r="F18" i="6"/>
  <c r="F17" i="6"/>
  <c r="F16" i="6"/>
  <c r="E253" i="8" l="1"/>
  <c r="V217" i="8"/>
  <c r="D40" i="5"/>
  <c r="V215" i="8" l="1"/>
  <c r="D58" i="1" l="1"/>
  <c r="V207" i="8" l="1"/>
  <c r="P207" i="8"/>
  <c r="P223" i="8"/>
  <c r="P222" i="8"/>
  <c r="P221" i="8"/>
  <c r="V222" i="8"/>
  <c r="V213" i="8"/>
  <c r="P233" i="8"/>
  <c r="P226" i="8"/>
  <c r="P205" i="8"/>
  <c r="L233" i="8"/>
  <c r="L206" i="8"/>
  <c r="L205" i="8"/>
  <c r="P235" i="8"/>
  <c r="P234" i="8"/>
  <c r="P232" i="8"/>
  <c r="P231" i="8"/>
  <c r="P230" i="8"/>
  <c r="P229" i="8"/>
  <c r="V223" i="8"/>
  <c r="V221" i="8"/>
  <c r="P228" i="8"/>
  <c r="Q223" i="8"/>
  <c r="Q222" i="8"/>
  <c r="W222" i="8" s="1"/>
  <c r="Q221" i="8"/>
  <c r="B41" i="9"/>
  <c r="B43" i="9"/>
  <c r="B44" i="9"/>
  <c r="B45" i="9"/>
  <c r="B46" i="9"/>
  <c r="B47" i="9"/>
  <c r="B48" i="9"/>
  <c r="B49" i="9"/>
  <c r="B50" i="9"/>
  <c r="B51" i="9"/>
  <c r="B52" i="9"/>
  <c r="B54" i="9"/>
  <c r="B55" i="9"/>
  <c r="V234" i="8" l="1"/>
  <c r="E17" i="5" s="1"/>
  <c r="V235" i="8"/>
  <c r="E18" i="5" s="1"/>
  <c r="V228" i="8"/>
  <c r="E12" i="5" s="1"/>
  <c r="W221" i="8"/>
  <c r="E7" i="5" s="1"/>
  <c r="W223" i="8"/>
  <c r="E9" i="5" s="1"/>
  <c r="V232" i="8"/>
  <c r="E16" i="5" s="1"/>
  <c r="V229" i="8"/>
  <c r="E13" i="5" s="1"/>
  <c r="V230" i="8"/>
  <c r="E14" i="5" s="1"/>
  <c r="V231" i="8"/>
  <c r="E15" i="5" s="1"/>
  <c r="E8" i="5"/>
  <c r="V211" i="8"/>
  <c r="E13" i="6"/>
  <c r="V209" i="8"/>
  <c r="P158" i="8" l="1"/>
  <c r="P157" i="8"/>
  <c r="P156" i="8"/>
  <c r="P155" i="8"/>
  <c r="P154" i="8"/>
  <c r="C24" i="1" s="1"/>
  <c r="P152" i="8"/>
  <c r="L152" i="8"/>
  <c r="L158" i="8"/>
  <c r="L156" i="8"/>
  <c r="L155" i="8"/>
  <c r="L157" i="8"/>
  <c r="L154" i="8"/>
  <c r="P149" i="8"/>
  <c r="P148" i="8"/>
  <c r="P147" i="8"/>
  <c r="P146" i="8"/>
  <c r="P145" i="8"/>
  <c r="P143" i="8"/>
  <c r="L149" i="8"/>
  <c r="L147" i="8"/>
  <c r="L146" i="8"/>
  <c r="L145" i="8"/>
  <c r="L140" i="8"/>
  <c r="L139" i="8"/>
  <c r="M190" i="8"/>
  <c r="L187" i="8"/>
  <c r="V148" i="8" l="1"/>
  <c r="E26" i="5" s="1"/>
  <c r="V147" i="8"/>
  <c r="V156" i="8"/>
  <c r="C89" i="1"/>
  <c r="V154" i="8"/>
  <c r="C90" i="1"/>
  <c r="V155" i="8"/>
  <c r="C91" i="1"/>
  <c r="C88" i="1"/>
  <c r="V152" i="8"/>
  <c r="C92" i="1"/>
  <c r="V157" i="8"/>
  <c r="E33" i="5" s="1"/>
  <c r="C93" i="1"/>
  <c r="V149" i="8"/>
  <c r="V145" i="8"/>
  <c r="V146" i="8"/>
  <c r="C132" i="1"/>
  <c r="P198" i="8"/>
  <c r="P197" i="8"/>
  <c r="P193" i="8"/>
  <c r="P196" i="8"/>
  <c r="Q190" i="8"/>
  <c r="P190" i="8"/>
  <c r="P187" i="8"/>
  <c r="P186" i="8"/>
  <c r="P185" i="8"/>
  <c r="P184" i="8"/>
  <c r="P183" i="8"/>
  <c r="P182" i="8"/>
  <c r="P176" i="8"/>
  <c r="P175" i="8"/>
  <c r="P167" i="8"/>
  <c r="P164" i="8"/>
  <c r="P161" i="8"/>
  <c r="P140" i="8"/>
  <c r="P139" i="8"/>
  <c r="P137" i="8"/>
  <c r="P136" i="8"/>
  <c r="V158" i="8" l="1"/>
  <c r="D33" i="5" s="1"/>
  <c r="F33" i="5" s="1"/>
  <c r="C11" i="8"/>
  <c r="W190" i="8"/>
  <c r="E37" i="5"/>
  <c r="C108" i="1"/>
  <c r="C131" i="1"/>
  <c r="C113" i="1"/>
  <c r="C127" i="1"/>
  <c r="C116" i="1"/>
  <c r="C128" i="1"/>
  <c r="C117" i="1"/>
  <c r="C126" i="1"/>
  <c r="C115" i="1"/>
  <c r="C118" i="1"/>
  <c r="C129" i="1"/>
  <c r="C119" i="1"/>
  <c r="C130" i="1"/>
  <c r="C109" i="1"/>
  <c r="C123" i="1"/>
  <c r="V187" i="8"/>
  <c r="C83" i="5" s="1"/>
  <c r="C120" i="1"/>
  <c r="C99" i="1"/>
  <c r="C102" i="1"/>
  <c r="C96" i="1"/>
  <c r="E30" i="5"/>
  <c r="E29" i="5"/>
  <c r="E32" i="5"/>
  <c r="E36" i="5"/>
  <c r="E35" i="5"/>
  <c r="E34" i="5"/>
  <c r="E28" i="5"/>
  <c r="E27" i="5"/>
  <c r="E25" i="5"/>
  <c r="D32" i="5"/>
  <c r="L136" i="8"/>
  <c r="P179" i="8"/>
  <c r="L179" i="8"/>
  <c r="P170" i="8"/>
  <c r="L170" i="8"/>
  <c r="L167" i="8"/>
  <c r="L164" i="8"/>
  <c r="L161" i="8"/>
  <c r="L201" i="8" l="1"/>
  <c r="E52" i="5"/>
  <c r="V167" i="8"/>
  <c r="L190" i="8"/>
  <c r="C105" i="1"/>
  <c r="C112" i="1"/>
  <c r="F32" i="5"/>
  <c r="V164" i="8"/>
  <c r="V136" i="8"/>
  <c r="E251" i="8" s="1"/>
  <c r="V161" i="8"/>
  <c r="E38" i="5" s="1"/>
  <c r="L192" i="8"/>
  <c r="L191" i="8"/>
  <c r="L188" i="8"/>
  <c r="L181" i="8"/>
  <c r="L178" i="8"/>
  <c r="L177" i="8"/>
  <c r="L174" i="8"/>
  <c r="L171" i="8"/>
  <c r="L169" i="8"/>
  <c r="L168" i="8"/>
  <c r="L166" i="8"/>
  <c r="L165" i="8"/>
  <c r="L163" i="8"/>
  <c r="L162" i="8"/>
  <c r="L160" i="8"/>
  <c r="L159" i="8"/>
  <c r="L151" i="8"/>
  <c r="L150" i="8"/>
  <c r="L142" i="8"/>
  <c r="L141" i="8"/>
  <c r="E61" i="5" l="1"/>
  <c r="E23" i="5"/>
  <c r="E48" i="5"/>
  <c r="F48" i="5" s="1"/>
  <c r="E49" i="5"/>
  <c r="F49" i="5" s="1"/>
  <c r="E44" i="5"/>
  <c r="E43" i="5"/>
  <c r="E252" i="8"/>
  <c r="E41" i="5"/>
  <c r="E40" i="5"/>
  <c r="E42" i="5"/>
  <c r="E47" i="5"/>
  <c r="F47" i="5" s="1"/>
  <c r="E46" i="5"/>
  <c r="F46" i="5" s="1"/>
  <c r="V175" i="8"/>
  <c r="E55" i="5" s="1"/>
  <c r="V176" i="8"/>
  <c r="E56" i="5" s="1"/>
  <c r="L198" i="8"/>
  <c r="L197" i="8"/>
  <c r="L196" i="8"/>
  <c r="L193" i="8"/>
  <c r="V193" i="8" s="1"/>
  <c r="L186" i="8"/>
  <c r="L185" i="8"/>
  <c r="L184" i="8"/>
  <c r="L183" i="8"/>
  <c r="L182" i="8"/>
  <c r="F22" i="5" l="1"/>
  <c r="E254" i="8"/>
  <c r="V182" i="8"/>
  <c r="C77" i="5" s="1"/>
  <c r="D106" i="5"/>
  <c r="C49" i="9" s="1"/>
  <c r="C106" i="5"/>
  <c r="V184" i="8"/>
  <c r="C79" i="5" s="1"/>
  <c r="C88" i="5"/>
  <c r="V185" i="8"/>
  <c r="C81" i="5" s="1"/>
  <c r="V186" i="8"/>
  <c r="C82" i="5" s="1"/>
  <c r="V197" i="8"/>
  <c r="C90" i="5" s="1"/>
  <c r="V198" i="8"/>
  <c r="C91" i="5" s="1"/>
  <c r="L138" i="8"/>
  <c r="L137" i="8"/>
  <c r="E68" i="5" l="1"/>
  <c r="E70" i="5"/>
  <c r="E69" i="5"/>
  <c r="C99" i="5"/>
  <c r="D99" i="5"/>
  <c r="C119" i="5"/>
  <c r="D49" i="9"/>
  <c r="D119" i="5"/>
  <c r="H21" i="6"/>
  <c r="H251" i="8"/>
  <c r="B256" i="8" s="1"/>
  <c r="H252" i="8"/>
  <c r="B257" i="8" s="1"/>
  <c r="P138" i="8"/>
  <c r="V190" i="8"/>
  <c r="V143" i="8"/>
  <c r="C42" i="9" l="1"/>
  <c r="H25" i="6"/>
  <c r="D116" i="5"/>
  <c r="C116" i="5"/>
  <c r="D42" i="9"/>
  <c r="V138" i="8"/>
  <c r="D23" i="5" s="1"/>
  <c r="V137" i="8"/>
  <c r="D25" i="5"/>
  <c r="F25" i="5" s="1"/>
  <c r="D26" i="5"/>
  <c r="F26" i="5" s="1"/>
  <c r="C80" i="5" l="1"/>
  <c r="F13" i="5" l="1"/>
  <c r="D38" i="5"/>
  <c r="D60" i="5" l="1"/>
  <c r="D61" i="5"/>
  <c r="F18" i="5" l="1"/>
  <c r="F17" i="5"/>
  <c r="F14" i="5"/>
  <c r="F15" i="5"/>
  <c r="F16" i="5"/>
  <c r="F12" i="5"/>
  <c r="D2" i="5"/>
  <c r="F50" i="5"/>
  <c r="F56" i="5"/>
  <c r="F55" i="5"/>
  <c r="D100" i="5" l="1"/>
  <c r="C43" i="9" s="1"/>
  <c r="C100" i="5"/>
  <c r="D43" i="9" s="1"/>
  <c r="D110" i="5"/>
  <c r="C110" i="5"/>
  <c r="E116" i="5"/>
  <c r="F116" i="5"/>
  <c r="E99" i="5"/>
  <c r="F42" i="9" s="1"/>
  <c r="F99" i="5"/>
  <c r="E42" i="9" s="1"/>
  <c r="E106" i="5"/>
  <c r="F49" i="9" s="1"/>
  <c r="F106" i="5"/>
  <c r="E49" i="9" s="1"/>
  <c r="F8" i="5"/>
  <c r="F7" i="5"/>
  <c r="F9" i="5"/>
  <c r="F69" i="5"/>
  <c r="F70" i="5"/>
  <c r="C111" i="5"/>
  <c r="D111" i="5"/>
  <c r="F23" i="5"/>
  <c r="F111" i="5" l="1"/>
  <c r="E54" i="9" s="1"/>
  <c r="C54" i="9"/>
  <c r="E111" i="5"/>
  <c r="F54" i="9" s="1"/>
  <c r="D54" i="9"/>
  <c r="F110" i="5"/>
  <c r="E53" i="9" s="1"/>
  <c r="C53" i="9"/>
  <c r="E110" i="5"/>
  <c r="F53" i="9" s="1"/>
  <c r="D53" i="9"/>
  <c r="H26" i="6"/>
  <c r="D117" i="5"/>
  <c r="F117" i="5" s="1"/>
  <c r="C117" i="5"/>
  <c r="E117" i="5" s="1"/>
  <c r="E100" i="5"/>
  <c r="F43" i="9" s="1"/>
  <c r="F100" i="5"/>
  <c r="E43" i="9" s="1"/>
  <c r="D98" i="5"/>
  <c r="C41" i="9" s="1"/>
  <c r="C101" i="5"/>
  <c r="D44" i="9" s="1"/>
  <c r="D101" i="5"/>
  <c r="C44" i="9" s="1"/>
  <c r="C98" i="5"/>
  <c r="C115" i="5" l="1"/>
  <c r="E115" i="5" s="1"/>
  <c r="D41" i="9"/>
  <c r="D123" i="5"/>
  <c r="H17" i="6"/>
  <c r="H24" i="6"/>
  <c r="D115" i="5"/>
  <c r="C123" i="5"/>
  <c r="F101" i="5"/>
  <c r="E44" i="9" s="1"/>
  <c r="E101" i="5"/>
  <c r="F44" i="9" s="1"/>
  <c r="E98" i="5"/>
  <c r="F98" i="5"/>
  <c r="E41" i="9" s="1"/>
  <c r="F41" i="9" l="1"/>
  <c r="F115" i="5"/>
  <c r="F52" i="5"/>
  <c r="D109" i="5" l="1"/>
  <c r="C52" i="9" s="1"/>
  <c r="C109" i="5"/>
  <c r="D52" i="9" s="1"/>
  <c r="F42" i="5"/>
  <c r="F41" i="5"/>
  <c r="F36" i="5"/>
  <c r="F37" i="5"/>
  <c r="F29" i="5"/>
  <c r="F30" i="5"/>
  <c r="F44" i="5"/>
  <c r="F43" i="5"/>
  <c r="F40" i="5"/>
  <c r="F38" i="5"/>
  <c r="F35" i="5"/>
  <c r="F34" i="5"/>
  <c r="F60" i="5"/>
  <c r="F61" i="5"/>
  <c r="F28" i="5"/>
  <c r="F27" i="5"/>
  <c r="D68" i="5"/>
  <c r="F68" i="5" s="1"/>
  <c r="D67" i="5"/>
  <c r="C105" i="5" l="1"/>
  <c r="D48" i="9" s="1"/>
  <c r="C107" i="5"/>
  <c r="D50" i="9" s="1"/>
  <c r="F109" i="5"/>
  <c r="E52" i="9" s="1"/>
  <c r="E109" i="5"/>
  <c r="F52" i="9" s="1"/>
  <c r="D103" i="5"/>
  <c r="C46" i="9" s="1"/>
  <c r="C103" i="5"/>
  <c r="D46" i="9" s="1"/>
  <c r="D102" i="5"/>
  <c r="C45" i="9" s="1"/>
  <c r="C102" i="5"/>
  <c r="D107" i="5"/>
  <c r="C50" i="9" s="1"/>
  <c r="C104" i="5"/>
  <c r="C118" i="5" s="1"/>
  <c r="D104" i="5"/>
  <c r="C47" i="9" s="1"/>
  <c r="D105" i="5"/>
  <c r="C48" i="9" s="1"/>
  <c r="D118" i="5" l="1"/>
  <c r="D45" i="9"/>
  <c r="C120" i="5"/>
  <c r="E120" i="5" s="1"/>
  <c r="E118" i="5"/>
  <c r="D47" i="9"/>
  <c r="F104" i="5"/>
  <c r="E47" i="9" s="1"/>
  <c r="H22" i="6"/>
  <c r="F119" i="5"/>
  <c r="H18" i="6"/>
  <c r="D122" i="5"/>
  <c r="F103" i="5"/>
  <c r="E46" i="9" s="1"/>
  <c r="H19" i="6"/>
  <c r="D121" i="5"/>
  <c r="F105" i="5"/>
  <c r="E48" i="9" s="1"/>
  <c r="D120" i="5"/>
  <c r="F120" i="5" s="1"/>
  <c r="H20" i="6"/>
  <c r="C121" i="5"/>
  <c r="C122" i="5"/>
  <c r="E119" i="5"/>
  <c r="E105" i="5"/>
  <c r="F48" i="9" s="1"/>
  <c r="E104" i="5"/>
  <c r="F47" i="9" s="1"/>
  <c r="E102" i="5"/>
  <c r="E107" i="5"/>
  <c r="F50" i="9" s="1"/>
  <c r="F102" i="5"/>
  <c r="E45" i="9" s="1"/>
  <c r="E103" i="5"/>
  <c r="F46" i="9" s="1"/>
  <c r="F107" i="5"/>
  <c r="E50" i="9" s="1"/>
  <c r="F45" i="9" l="1"/>
  <c r="F118" i="5"/>
  <c r="V196" i="8" l="1"/>
  <c r="C89" i="5" s="1"/>
  <c r="P201" i="8" l="1"/>
  <c r="V201" i="8" l="1"/>
  <c r="C92" i="5" s="1"/>
  <c r="C133" i="1"/>
  <c r="J93" i="5" l="1"/>
  <c r="H93" i="5"/>
  <c r="E93" i="5"/>
  <c r="I93" i="5"/>
  <c r="F93" i="5"/>
  <c r="D93" i="5"/>
  <c r="E63" i="5" s="1"/>
  <c r="E67" i="5" l="1"/>
  <c r="F67" i="5" s="1"/>
  <c r="E64" i="5"/>
  <c r="F64" i="5" s="1"/>
  <c r="E66" i="5"/>
  <c r="F66" i="5" s="1"/>
  <c r="E65" i="5"/>
  <c r="F65" i="5" s="1"/>
  <c r="F63" i="5"/>
  <c r="C108" i="5" l="1"/>
  <c r="D108" i="5"/>
  <c r="F108" i="5" s="1"/>
  <c r="E51" i="9" s="1"/>
  <c r="C112" i="5" l="1"/>
  <c r="D55" i="9" s="1"/>
  <c r="D112" i="5"/>
  <c r="F112" i="5" s="1"/>
  <c r="E55" i="9" s="1"/>
  <c r="D124" i="5"/>
  <c r="D125" i="5" s="1"/>
  <c r="F125" i="5" s="1"/>
  <c r="C51" i="9"/>
  <c r="H16" i="6"/>
  <c r="H28" i="6" s="1"/>
  <c r="D51" i="9"/>
  <c r="C124" i="5"/>
  <c r="C125" i="5" s="1"/>
  <c r="E125" i="5" s="1"/>
  <c r="E108" i="5"/>
  <c r="F51" i="9" l="1"/>
  <c r="E112" i="5"/>
  <c r="F55" i="9" s="1"/>
  <c r="C5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 Delft</author>
  </authors>
  <commentList>
    <comment ref="B251" authorId="0" shapeId="0" xr:uid="{00000000-0006-0000-0600-000001000000}">
      <text>
        <r>
          <rPr>
            <b/>
            <sz val="9"/>
            <color indexed="81"/>
            <rFont val="Tahoma"/>
            <family val="2"/>
          </rPr>
          <t>CE Delft:</t>
        </r>
        <r>
          <rPr>
            <sz val="9"/>
            <color indexed="81"/>
            <rFont val="Tahoma"/>
            <family val="2"/>
          </rPr>
          <t xml:space="preserve">
Sterk houtig + integraal groen - hout naar BEC</t>
        </r>
      </text>
    </comment>
    <comment ref="B252" authorId="0" shapeId="0" xr:uid="{00000000-0006-0000-0600-000002000000}">
      <text>
        <r>
          <rPr>
            <b/>
            <sz val="9"/>
            <color indexed="81"/>
            <rFont val="Tahoma"/>
            <family val="2"/>
          </rPr>
          <t>CE Delft:</t>
        </r>
        <r>
          <rPr>
            <sz val="9"/>
            <color indexed="81"/>
            <rFont val="Tahoma"/>
            <family val="2"/>
          </rPr>
          <t xml:space="preserve">
Maaisels-maaisels naar co-vergisting-maaisels naar gft-vergisting-bokashi-kleine kringloop</t>
        </r>
      </text>
    </comment>
  </commentList>
</comments>
</file>

<file path=xl/sharedStrings.xml><?xml version="1.0" encoding="utf-8"?>
<sst xmlns="http://schemas.openxmlformats.org/spreadsheetml/2006/main" count="921" uniqueCount="321">
  <si>
    <t>Hout naar bio-energiecentrale</t>
  </si>
  <si>
    <t>Calorische waarde hout</t>
  </si>
  <si>
    <t>MJ/kg</t>
  </si>
  <si>
    <t>Thermisch rendement centrale</t>
  </si>
  <si>
    <t>Elektrisch rendement centrale</t>
  </si>
  <si>
    <t>%</t>
  </si>
  <si>
    <t>Maaisels naar co-vergister</t>
  </si>
  <si>
    <t>Biogas opbrengst co-vergister</t>
  </si>
  <si>
    <t>Maaisels naar GFT-vergisting en nacompostering</t>
  </si>
  <si>
    <t>Biogas opbrengst GFT-vergister</t>
  </si>
  <si>
    <t>m3</t>
  </si>
  <si>
    <t>kWh</t>
  </si>
  <si>
    <t>Zeefgrond</t>
  </si>
  <si>
    <t>Hoeveelheid zeefgrond</t>
  </si>
  <si>
    <t>Bokashi</t>
  </si>
  <si>
    <t>Groenafval naar bokashi</t>
  </si>
  <si>
    <t>Compostering</t>
  </si>
  <si>
    <t>Transport</t>
  </si>
  <si>
    <t>Vrachtwagen</t>
  </si>
  <si>
    <t>kg</t>
  </si>
  <si>
    <t>Gewicht (kg)</t>
  </si>
  <si>
    <t>Afstand (km)</t>
  </si>
  <si>
    <t>Aangeleverd groenafval</t>
  </si>
  <si>
    <t xml:space="preserve">Totale hoeveelheid </t>
  </si>
  <si>
    <t>Energieverbruik verwerkingsinrichting</t>
  </si>
  <si>
    <t>Elektriciteit (grijs)</t>
  </si>
  <si>
    <t>Elektriciteit (groen uit Nederland)</t>
  </si>
  <si>
    <t>Elektriciteit (groen uit buitenland)</t>
  </si>
  <si>
    <t>Elektriciteit (eigen opwek PV/wind)</t>
  </si>
  <si>
    <t>Diesel</t>
  </si>
  <si>
    <t>Aardgas</t>
  </si>
  <si>
    <t>liter</t>
  </si>
  <si>
    <t>Selectie bewerkingsopties</t>
  </si>
  <si>
    <t>Maaisels naar gft-vergister</t>
  </si>
  <si>
    <t>Afgescheiden zeefgrond</t>
  </si>
  <si>
    <t>Alternatieve opwerking</t>
  </si>
  <si>
    <t>Surplus water naar RWZI</t>
  </si>
  <si>
    <t>Residu naar AVI/stort</t>
  </si>
  <si>
    <t>Groenafval naar compostering</t>
  </si>
  <si>
    <t>Opbrengst compostering</t>
  </si>
  <si>
    <t>Droge stof gehalte</t>
  </si>
  <si>
    <t>Stikstof gehalte</t>
  </si>
  <si>
    <t>g N/kg ds</t>
  </si>
  <si>
    <t>Fosfaat gehalte</t>
  </si>
  <si>
    <t>g P2O5/kg ds</t>
  </si>
  <si>
    <t>Kalium gehalte</t>
  </si>
  <si>
    <t>g K2O/kg ds</t>
  </si>
  <si>
    <t>Organische stof gehalte</t>
  </si>
  <si>
    <t>g O.S./kg ds</t>
  </si>
  <si>
    <t>Transport van compost</t>
  </si>
  <si>
    <t>Marktverdeling compost</t>
  </si>
  <si>
    <t>Landbouw</t>
  </si>
  <si>
    <t>Hoveniers, particulieren</t>
  </si>
  <si>
    <t>Gemeenten</t>
  </si>
  <si>
    <t>Anders (w.o. tussenhandel)</t>
  </si>
  <si>
    <t>m3/ton groenafval</t>
  </si>
  <si>
    <t>Naar AVI</t>
  </si>
  <si>
    <t>Naar stort</t>
  </si>
  <si>
    <t>Deelstroom</t>
  </si>
  <si>
    <t>Opwerkingsproces</t>
  </si>
  <si>
    <t>Eenheid</t>
  </si>
  <si>
    <t>tkm</t>
  </si>
  <si>
    <t>Energiegebruik</t>
  </si>
  <si>
    <t>Bewerkingsopties</t>
  </si>
  <si>
    <t>Bio-energiecentrale</t>
  </si>
  <si>
    <t>Co-vergisting</t>
  </si>
  <si>
    <t>GFT-vergisting</t>
  </si>
  <si>
    <t>kg CO2-eq</t>
  </si>
  <si>
    <t>Water naar RWZI</t>
  </si>
  <si>
    <t>Residu naar AVI</t>
  </si>
  <si>
    <t>Residu naar stort</t>
  </si>
  <si>
    <t>Veenvervanging</t>
  </si>
  <si>
    <t>Substitutie N-fertilizer</t>
  </si>
  <si>
    <t>Substitutie P-fertilizer</t>
  </si>
  <si>
    <t>Substitutie K-fertilizer</t>
  </si>
  <si>
    <t>Emissie N2O door toepassing compost</t>
  </si>
  <si>
    <t>g</t>
  </si>
  <si>
    <t>Emissie CH4 compostering</t>
  </si>
  <si>
    <t>Emissie N2O compostering</t>
  </si>
  <si>
    <t>Transport groenafval</t>
  </si>
  <si>
    <t xml:space="preserve">Compost eigenschappen en toepassing </t>
  </si>
  <si>
    <t>Opbrengst</t>
  </si>
  <si>
    <t>N-gehalte</t>
  </si>
  <si>
    <t>C-gehalte</t>
  </si>
  <si>
    <t>P-gehalte</t>
  </si>
  <si>
    <t>K-gehalte</t>
  </si>
  <si>
    <t>g/kg ds</t>
  </si>
  <si>
    <t>kg/kg ds</t>
  </si>
  <si>
    <t>Marktverdeling</t>
  </si>
  <si>
    <t>% ds</t>
  </si>
  <si>
    <t>% bijdrage aan veenvervanging</t>
  </si>
  <si>
    <t>% bijdrage aan kunstmestvervanging</t>
  </si>
  <si>
    <t>% bijdrage aan koolstofvastlegging</t>
  </si>
  <si>
    <t>Totaal</t>
  </si>
  <si>
    <t>% N beschikbaar voor vervanging</t>
  </si>
  <si>
    <t>% P beschikbaar voor vervanging</t>
  </si>
  <si>
    <t>% K beschikbaar voor vervanging</t>
  </si>
  <si>
    <t xml:space="preserve">% </t>
  </si>
  <si>
    <t xml:space="preserve">Dichtheid </t>
  </si>
  <si>
    <t>kg/m3</t>
  </si>
  <si>
    <t>ds gehalte</t>
  </si>
  <si>
    <t>vervangingswaarde compost</t>
  </si>
  <si>
    <t>m3 veen/m3 compost</t>
  </si>
  <si>
    <t>Dichtheid</t>
  </si>
  <si>
    <t>Bedrijfsgegevens</t>
  </si>
  <si>
    <t>Naam bedrijf</t>
  </si>
  <si>
    <t>Locatie</t>
  </si>
  <si>
    <t>Geef hieronder aan of u aan de criteria hiervoor voldoet.</t>
  </si>
  <si>
    <t>Geupdate kengetallen</t>
  </si>
  <si>
    <t>Totale hoeveelheid</t>
  </si>
  <si>
    <t>Totale impact (kg CO2-eq)</t>
  </si>
  <si>
    <t>Kengetal (kg CO-eq/eenheid)</t>
  </si>
  <si>
    <t>Transport (aanvoer)</t>
  </si>
  <si>
    <t>Energiegebruik inrichting</t>
  </si>
  <si>
    <t xml:space="preserve">Compostering </t>
  </si>
  <si>
    <t>Toepassing compost</t>
  </si>
  <si>
    <t>Totaal aangevoerd</t>
  </si>
  <si>
    <t>Gewicht (ton)</t>
  </si>
  <si>
    <t>ton</t>
  </si>
  <si>
    <t>Resultaten (ingekort)</t>
  </si>
  <si>
    <t>Bedrijf:</t>
  </si>
  <si>
    <t>Locatie:</t>
  </si>
  <si>
    <t>Jaar:</t>
  </si>
  <si>
    <t>Aandeel sterk houtig</t>
  </si>
  <si>
    <t>Aandeel integraal groen</t>
  </si>
  <si>
    <t>Aandeel bladafval</t>
  </si>
  <si>
    <t>Aandeel maaisels/slootafval/tuinbouwafval</t>
  </si>
  <si>
    <t>100% van hout in ingangsmateriaal</t>
  </si>
  <si>
    <t>vergisting en bokashi samen max 50% van aangevoerde maaisels</t>
  </si>
  <si>
    <t>75-125% gewichtspercentage aan hout</t>
  </si>
  <si>
    <t>maaisels in compost max 30%; hout in compost min 50%</t>
  </si>
  <si>
    <t>Kleine kringloop</t>
  </si>
  <si>
    <t>Vochtpercentage hout</t>
  </si>
  <si>
    <t>Maaisels voor opwekking elektriciteit</t>
  </si>
  <si>
    <t>Maaisels voor productie groen gas</t>
  </si>
  <si>
    <t>m3 biogas/kg maaisels</t>
  </si>
  <si>
    <t>Emissie CH4 co-vergisting</t>
  </si>
  <si>
    <t>Emissie N2O co-vergisting</t>
  </si>
  <si>
    <t>Vermeden emissie N2O door vermeden toepassing kunstmest</t>
  </si>
  <si>
    <t>Emissie CH4 gft-vergisting</t>
  </si>
  <si>
    <t>Emissie N2O gft-vergisting</t>
  </si>
  <si>
    <t>Elektriciteit (onbekend)</t>
  </si>
  <si>
    <t>Koolstofvastlegging in grond A</t>
  </si>
  <si>
    <t>Koolstofvastlegging in grond B</t>
  </si>
  <si>
    <t>Koolstofvastlegging digestaat A</t>
  </si>
  <si>
    <t>Koolstofvastlegging digestaat B</t>
  </si>
  <si>
    <t>Koolstofvastlegging A</t>
  </si>
  <si>
    <t>Koolstofvastlegging B</t>
  </si>
  <si>
    <t>Emissie CH4</t>
  </si>
  <si>
    <t>Emissie N2O</t>
  </si>
  <si>
    <t>Hulpstoffen</t>
  </si>
  <si>
    <t>Aangevoerde maaisels (kg/ton groenafval)</t>
  </si>
  <si>
    <t>Maaisels naar vergisting en bokashi:</t>
  </si>
  <si>
    <t xml:space="preserve">Resultaten (uitgebreid) </t>
  </si>
  <si>
    <t>kg CO2-eq/ton groenafval A</t>
  </si>
  <si>
    <t>kg CO2-eq/ton groenafval B</t>
  </si>
  <si>
    <t>Lijst</t>
  </si>
  <si>
    <t>Sterk houtig</t>
  </si>
  <si>
    <t>Integraal groen</t>
  </si>
  <si>
    <t>Bladafval</t>
  </si>
  <si>
    <t>-</t>
  </si>
  <si>
    <t>Groenafval naar kleine kringloop</t>
  </si>
  <si>
    <t>Gebruiksaanwijzing tool</t>
  </si>
  <si>
    <t/>
  </si>
  <si>
    <t>Standaardwaarden verwijderen</t>
  </si>
  <si>
    <t>Alle lege velden omzetten naar 0</t>
  </si>
  <si>
    <t>Standaardwaarden invullen</t>
  </si>
  <si>
    <t>Busje met aanhanger</t>
  </si>
  <si>
    <t>Vrachtauto 10-20 ton</t>
  </si>
  <si>
    <t>Vrachtauto &gt;20 ton</t>
  </si>
  <si>
    <t>Opwekken elektriciteit</t>
  </si>
  <si>
    <t>Opwekken groengas</t>
  </si>
  <si>
    <t>Stookwaarde biogas</t>
  </si>
  <si>
    <t>MJ/m3</t>
  </si>
  <si>
    <t>Elektrisch rendement WKK</t>
  </si>
  <si>
    <t>Conversiefactor biogas naar groen gas</t>
  </si>
  <si>
    <t>Methode A</t>
  </si>
  <si>
    <t>Methode B</t>
  </si>
  <si>
    <t>Totale hoeveelheid groenafval</t>
  </si>
  <si>
    <t xml:space="preserve">Klimaatimpact (in kg CO2-eq) </t>
  </si>
  <si>
    <t xml:space="preserve">Afstand (km) </t>
  </si>
  <si>
    <t xml:space="preserve">De groenafvaltool is alleen betrouwbaar te gebruiken wanneer sprake is van een vergunde inrichting met adequate systemen voor het wegen en administreren van materiaalstromen en andere operationele data. Daarnaast is specifiek van belang dat het composteerproces verloopt conform ‘goede praktijk’, omdat anders de emissies daarvan niet zijn in te schatten.    </t>
  </si>
  <si>
    <t xml:space="preserve">Voor bokashi en het rechtstreeks toepassen van groenafval als bodemverbeteraar (‘kleine kringloop’) zijn nog weinig betrouwbare kentallen over broeikasgasemissies betrouwbaar. Wanneer deze technieken worden toegepast bestaat dus onzekerheid over de kwantitatieve resultaten van de tool. </t>
  </si>
  <si>
    <t>(een deel van) het groenafval wordt verwerkt tot bokashi en/of een deel van het groenafval wordt rechtstreeks toegepast als bodemverbeteraar.</t>
  </si>
  <si>
    <t>Best practice</t>
  </si>
  <si>
    <t>Criterium 1</t>
  </si>
  <si>
    <t>Criterium 2</t>
  </si>
  <si>
    <t>Criterium 3</t>
  </si>
  <si>
    <t>Criterium 4</t>
  </si>
  <si>
    <t>Voldoet aan best practice</t>
  </si>
  <si>
    <t>er is sprake van een vergunde inrichting;</t>
  </si>
  <si>
    <t xml:space="preserve">1. Vul hieronder de bedrijfsgegevens in en geef aan of de inrichting aan de criteria van best practice voldoet door de vakjes aan te vinken. </t>
  </si>
  <si>
    <t>2.</t>
  </si>
  <si>
    <t xml:space="preserve">3. </t>
  </si>
  <si>
    <t>Ga door naar tabblad "3. Bewerking". Vul hier voor de gebruikte verwerkingsroutes de gegevens in of kies ervoor de standaardwaarden in te gebruiken indien de gegevens niet bekend zijn.</t>
  </si>
  <si>
    <t xml:space="preserve">4. </t>
  </si>
  <si>
    <t xml:space="preserve">Ga door naar tabblad "4. Resultaten". Hier vindt u een samenvatting van de ingevoerde gegevens en de klimaatimpact van het verwerken van het groenafval.  </t>
  </si>
  <si>
    <t xml:space="preserve">5. </t>
  </si>
  <si>
    <t xml:space="preserve">Op tabblad "5. Uitgebreide resultaten" vindt u een grafiek en een tabel waarin de resultaten in meer detail zijn weergegeven. </t>
  </si>
  <si>
    <t>Aandeel tuinbouwafval</t>
  </si>
  <si>
    <t>kg CO2-eq/totaal A</t>
  </si>
  <si>
    <t>kg CO2-eq/totaal B</t>
  </si>
  <si>
    <t>Samenstelling composthoop</t>
  </si>
  <si>
    <t>Hout (maximaal)</t>
  </si>
  <si>
    <t>Gras</t>
  </si>
  <si>
    <t>Overig</t>
  </si>
  <si>
    <t>Voorwaarde</t>
  </si>
  <si>
    <t>Minimaal</t>
  </si>
  <si>
    <t xml:space="preserve">Maximaal </t>
  </si>
  <si>
    <t>Maaisels/slootafval</t>
  </si>
  <si>
    <t>Tuinbouwafval</t>
  </si>
  <si>
    <t>ton per jaar</t>
  </si>
  <si>
    <t>Gft-vergisting</t>
  </si>
  <si>
    <t>Hoeveelheid</t>
  </si>
  <si>
    <t>Klimaatimpact</t>
  </si>
  <si>
    <t>Klimaatimpact verwerking</t>
  </si>
  <si>
    <t>Bij de berekening van de klimaatimpact is rekening gehouden met de koolstofopslag in de bodem. De koolstofopslag kan op twee manieren berekend worden:</t>
  </si>
  <si>
    <t xml:space="preserve">Dit levert verschillende resultaten op, die hieronder worden weergegeven. Voor meer uitleg hierover, zie het achtergronddocument bij deze tool. </t>
  </si>
  <si>
    <t xml:space="preserve">Energieverbruik verwerkingsinrichting </t>
  </si>
  <si>
    <t xml:space="preserve">Vul hieronder de bedrijfsgegevens in en geef aan of de inrichting aan de criteria van good practice voldoet door de vakjes aan te vinken. </t>
  </si>
  <si>
    <t>Bevestiging good practice</t>
  </si>
  <si>
    <t>Jaar van berekening*</t>
  </si>
  <si>
    <t>*jaar waarvoor de berekening is uitgevoerd</t>
  </si>
  <si>
    <t>ton/jaar</t>
  </si>
  <si>
    <t>kWh/jaar</t>
  </si>
  <si>
    <t>liter/jaar</t>
  </si>
  <si>
    <t>m3/jaar</t>
  </si>
  <si>
    <t>Thermisch rendement centrale*</t>
  </si>
  <si>
    <t>Elektrisch rendement centrale*</t>
  </si>
  <si>
    <t>Bokashi/kleine kringloop</t>
  </si>
  <si>
    <t>CO2-tool groenafval - Uitgebreide resultaten</t>
  </si>
  <si>
    <r>
      <t>CO</t>
    </r>
    <r>
      <rPr>
        <b/>
        <vertAlign val="subscript"/>
        <sz val="14"/>
        <color theme="1"/>
        <rFont val="Trebuchet MS"/>
        <family val="2"/>
        <scheme val="minor"/>
      </rPr>
      <t>2</t>
    </r>
    <r>
      <rPr>
        <b/>
        <sz val="14"/>
        <color theme="1"/>
        <rFont val="Trebuchet MS"/>
        <family val="2"/>
        <scheme val="minor"/>
      </rPr>
      <t>-tool groenafval - Resultaten</t>
    </r>
  </si>
  <si>
    <r>
      <t>CO</t>
    </r>
    <r>
      <rPr>
        <b/>
        <vertAlign val="subscript"/>
        <sz val="14"/>
        <color theme="1"/>
        <rFont val="Trebuchet MS"/>
        <family val="2"/>
        <scheme val="minor"/>
      </rPr>
      <t>2</t>
    </r>
    <r>
      <rPr>
        <b/>
        <sz val="14"/>
        <color theme="1"/>
        <rFont val="Trebuchet MS"/>
        <family val="2"/>
        <scheme val="minor"/>
      </rPr>
      <t>-tool groenafval - Introductie</t>
    </r>
  </si>
  <si>
    <r>
      <rPr>
        <b/>
        <sz val="10"/>
        <color theme="1"/>
        <rFont val="Trebuchet MS"/>
        <family val="2"/>
        <scheme val="minor"/>
      </rPr>
      <t>CO</t>
    </r>
    <r>
      <rPr>
        <b/>
        <vertAlign val="subscript"/>
        <sz val="10"/>
        <color theme="1"/>
        <rFont val="Trebuchet MS"/>
        <family val="2"/>
        <scheme val="minor"/>
      </rPr>
      <t>2</t>
    </r>
    <r>
      <rPr>
        <b/>
        <sz val="10"/>
        <color theme="1"/>
        <rFont val="Trebuchet MS"/>
        <family val="2"/>
        <scheme val="minor"/>
      </rPr>
      <t>-tool voor groenafvalverwerking</t>
    </r>
    <r>
      <rPr>
        <sz val="10"/>
        <color theme="1"/>
        <rFont val="Trebuchet MS"/>
        <family val="2"/>
        <scheme val="minor"/>
      </rPr>
      <t xml:space="preserve"> </t>
    </r>
  </si>
  <si>
    <r>
      <t>CO</t>
    </r>
    <r>
      <rPr>
        <b/>
        <vertAlign val="subscript"/>
        <sz val="14"/>
        <color theme="1"/>
        <rFont val="Trebuchet MS"/>
        <family val="2"/>
        <scheme val="minor"/>
      </rPr>
      <t>2</t>
    </r>
    <r>
      <rPr>
        <b/>
        <sz val="14"/>
        <color theme="1"/>
        <rFont val="Trebuchet MS"/>
        <family val="2"/>
        <scheme val="minor"/>
      </rPr>
      <t>-tool groenafval - Bewerking</t>
    </r>
  </si>
  <si>
    <r>
      <t>g P</t>
    </r>
    <r>
      <rPr>
        <vertAlign val="subscript"/>
        <sz val="10"/>
        <color theme="2" tint="-0.499984740745262"/>
        <rFont val="Trebuchet MS"/>
        <family val="2"/>
        <scheme val="minor"/>
      </rPr>
      <t>2</t>
    </r>
    <r>
      <rPr>
        <sz val="10"/>
        <color theme="2" tint="-0.499984740745262"/>
        <rFont val="Trebuchet MS"/>
        <family val="2"/>
        <scheme val="minor"/>
      </rPr>
      <t>O</t>
    </r>
    <r>
      <rPr>
        <vertAlign val="subscript"/>
        <sz val="10"/>
        <color theme="2" tint="-0.499984740745262"/>
        <rFont val="Trebuchet MS"/>
        <family val="2"/>
        <scheme val="minor"/>
      </rPr>
      <t>5</t>
    </r>
    <r>
      <rPr>
        <sz val="10"/>
        <color theme="2" tint="-0.499984740745262"/>
        <rFont val="Trebuchet MS"/>
        <family val="2"/>
        <scheme val="minor"/>
      </rPr>
      <t>/kg ds</t>
    </r>
  </si>
  <si>
    <r>
      <t>m</t>
    </r>
    <r>
      <rPr>
        <vertAlign val="superscript"/>
        <sz val="10"/>
        <color theme="2" tint="-0.499984740745262"/>
        <rFont val="Trebuchet MS"/>
        <family val="2"/>
        <scheme val="minor"/>
      </rPr>
      <t>3</t>
    </r>
    <r>
      <rPr>
        <sz val="10"/>
        <color theme="2" tint="-0.499984740745262"/>
        <rFont val="Trebuchet MS"/>
        <family val="2"/>
        <scheme val="minor"/>
      </rPr>
      <t xml:space="preserve"> biogas/kg maaisels</t>
    </r>
  </si>
  <si>
    <r>
      <t>MJ/m</t>
    </r>
    <r>
      <rPr>
        <vertAlign val="superscript"/>
        <sz val="10"/>
        <color theme="2" tint="-0.499984740745262"/>
        <rFont val="Trebuchet MS"/>
        <family val="2"/>
        <scheme val="minor"/>
      </rPr>
      <t>3</t>
    </r>
  </si>
  <si>
    <r>
      <t>ton CO</t>
    </r>
    <r>
      <rPr>
        <vertAlign val="subscript"/>
        <sz val="10"/>
        <color theme="1"/>
        <rFont val="Trebuchet MS"/>
        <family val="2"/>
        <scheme val="minor"/>
      </rPr>
      <t>2</t>
    </r>
    <r>
      <rPr>
        <sz val="10"/>
        <color theme="1"/>
        <rFont val="Trebuchet MS"/>
        <family val="2"/>
        <scheme val="minor"/>
      </rPr>
      <t>-eq</t>
    </r>
  </si>
  <si>
    <r>
      <rPr>
        <b/>
        <i/>
        <sz val="9"/>
        <color theme="1"/>
        <rFont val="Trebuchet MS"/>
        <family val="2"/>
        <scheme val="minor"/>
      </rPr>
      <t>Deze berekening gaat uit van CO₂-opslag met tijdelijke waardering</t>
    </r>
    <r>
      <rPr>
        <i/>
        <sz val="9"/>
        <color theme="1" tint="0.249977111117893"/>
        <rFont val="Trebuchet MS"/>
        <family val="2"/>
        <scheme val="minor"/>
      </rPr>
      <t>: Dit houdt in dat tijdelijk opgeslagen (en daarmee uit de lucht gehouden) CO₂ naar rato wordt gewaardeerd en opgeteld bij de CO₂ die na 100 jaar nog ligt opgeslagen. Deze methode houdt rekening met de mate waarin de verschillende producten ook op korte termijn al kunnen bijdragen aan CO₂-opslag.</t>
    </r>
  </si>
  <si>
    <r>
      <t xml:space="preserve">Bij een </t>
    </r>
    <r>
      <rPr>
        <b/>
        <i/>
        <sz val="9"/>
        <color theme="1"/>
        <rFont val="Trebuchet MS"/>
        <family val="2"/>
        <scheme val="minor"/>
      </rPr>
      <t>postitieve klimaatimpact</t>
    </r>
    <r>
      <rPr>
        <i/>
        <sz val="9"/>
        <color theme="1" tint="0.249977111117893"/>
        <rFont val="Trebuchet MS"/>
        <family val="2"/>
        <scheme val="minor"/>
      </rPr>
      <t xml:space="preserve"> wordt er meer CO</t>
    </r>
    <r>
      <rPr>
        <sz val="9"/>
        <color theme="1" tint="0.249977111117893"/>
        <rFont val="Calibri"/>
        <family val="2"/>
      </rPr>
      <t>₂</t>
    </r>
    <r>
      <rPr>
        <i/>
        <sz val="9"/>
        <color theme="1" tint="0.249977111117893"/>
        <rFont val="Trebuchet MS"/>
        <family val="2"/>
        <scheme val="minor"/>
      </rPr>
      <t xml:space="preserve"> uitgestoten dan dat er uitstoot wordt voorkomen of CO₂ wordt vastgelegd. Bij een </t>
    </r>
    <r>
      <rPr>
        <b/>
        <i/>
        <sz val="9"/>
        <color theme="1"/>
        <rFont val="Trebuchet MS"/>
        <family val="2"/>
        <scheme val="minor"/>
      </rPr>
      <t>negatieve klimaatimpac</t>
    </r>
    <r>
      <rPr>
        <i/>
        <sz val="9"/>
        <color theme="1"/>
        <rFont val="Trebuchet MS"/>
        <family val="2"/>
        <scheme val="minor"/>
      </rPr>
      <t>t</t>
    </r>
    <r>
      <rPr>
        <i/>
        <sz val="9"/>
        <color theme="1" tint="0.249977111117893"/>
        <rFont val="Trebuchet MS"/>
        <family val="2"/>
        <scheme val="minor"/>
      </rPr>
      <t xml:space="preserve"> wordt er juist meer CO₂ vastgelegd en CO₂-uitstoot voorkomen dan er wordt uitgestoten. </t>
    </r>
  </si>
  <si>
    <t>Gewicht: het totale tonnage dat met het vervoermiddel is aangevoerd</t>
  </si>
  <si>
    <t>Afstand: gemiddelde afstand tot de inrichting bij gebruik van het vervoermiddel</t>
  </si>
  <si>
    <t>Residu naar AEC/stort</t>
  </si>
  <si>
    <t>Naar AEC</t>
  </si>
  <si>
    <r>
      <t>m</t>
    </r>
    <r>
      <rPr>
        <vertAlign val="superscript"/>
        <sz val="10"/>
        <color theme="2" tint="-0.499984740745262"/>
        <rFont val="Trebuchet MS"/>
        <family val="2"/>
        <scheme val="minor"/>
      </rPr>
      <t>3</t>
    </r>
    <r>
      <rPr>
        <sz val="10"/>
        <color theme="2" tint="-0.499984740745262"/>
        <rFont val="Trebuchet MS"/>
        <family val="2"/>
        <scheme val="minor"/>
      </rPr>
      <t>/jaar</t>
    </r>
  </si>
  <si>
    <t>Droge stof gehalte*</t>
  </si>
  <si>
    <t>Stikstof gehalte*</t>
  </si>
  <si>
    <t>Fosfaat gehalte*</t>
  </si>
  <si>
    <t>Kalium gehalte*</t>
  </si>
  <si>
    <t>Organische stof gehalte*</t>
  </si>
  <si>
    <t>*Gemiddelde waarde van de analyses gedurende het jaar</t>
  </si>
  <si>
    <t xml:space="preserve">*Standaardwaarde mag worden aangepast indien bekend is in welke bio-energiecentrale de biomassa verwerkt is </t>
  </si>
  <si>
    <t>Het gaat om de biogasproductie uit gras, m.a.w. niet het mengsel van substraten dat wordt vergist</t>
  </si>
  <si>
    <t>Koolstofvastlegging</t>
  </si>
  <si>
    <t>Met waardering tijdelijke opslag</t>
  </si>
  <si>
    <t>Zonder waardering tijdelijke opslag</t>
  </si>
  <si>
    <r>
      <t xml:space="preserve">Methode A </t>
    </r>
    <r>
      <rPr>
        <sz val="8"/>
        <color theme="1"/>
        <rFont val="Trebuchet MS"/>
        <family val="2"/>
        <scheme val="minor"/>
      </rPr>
      <t>(totaal)</t>
    </r>
  </si>
  <si>
    <r>
      <t xml:space="preserve">Methode B </t>
    </r>
    <r>
      <rPr>
        <sz val="8"/>
        <color theme="1"/>
        <rFont val="Trebuchet MS"/>
        <family val="2"/>
        <scheme val="minor"/>
      </rPr>
      <t>(totaal)</t>
    </r>
  </si>
  <si>
    <r>
      <t xml:space="preserve">Methode A          </t>
    </r>
    <r>
      <rPr>
        <sz val="8"/>
        <color theme="1"/>
        <rFont val="Trebuchet MS"/>
        <family val="2"/>
        <scheme val="minor"/>
      </rPr>
      <t>(per ton groenafval)</t>
    </r>
  </si>
  <si>
    <r>
      <t xml:space="preserve">Methode B          </t>
    </r>
    <r>
      <rPr>
        <sz val="8"/>
        <color theme="1"/>
        <rFont val="Trebuchet MS"/>
        <family val="2"/>
        <scheme val="minor"/>
      </rPr>
      <t>(per ton groenafval)</t>
    </r>
  </si>
  <si>
    <r>
      <t>Deze tool kan gebruikt worden om de klimaatimpact te berekenen van de opwerking van groenafval en van de benutting van de producten die daarbij ontstaan. Bedrijven kunnen de tool gebruiken om hun CO</t>
    </r>
    <r>
      <rPr>
        <vertAlign val="subscript"/>
        <sz val="10"/>
        <color theme="1"/>
        <rFont val="Trebuchet MS"/>
        <family val="2"/>
        <scheme val="minor"/>
      </rPr>
      <t>2</t>
    </r>
    <r>
      <rPr>
        <sz val="10"/>
        <color theme="1"/>
        <rFont val="Trebuchet MS"/>
        <family val="2"/>
        <scheme val="minor"/>
      </rPr>
      <t>-footprint te berekenen. Deze tool is ook bruikbaar om (bijvoorbeeld bij aanbestedingen) de CO</t>
    </r>
    <r>
      <rPr>
        <vertAlign val="subscript"/>
        <sz val="10"/>
        <color theme="1"/>
        <rFont val="Trebuchet MS"/>
        <family val="2"/>
        <scheme val="minor"/>
      </rPr>
      <t>2</t>
    </r>
    <r>
      <rPr>
        <sz val="10"/>
        <color theme="1"/>
        <rFont val="Trebuchet MS"/>
        <family val="2"/>
        <scheme val="minor"/>
      </rPr>
      <t xml:space="preserve">-performance van verschillende bedrijven te vergelijken. Meer informatie over de gebruikte kengetallen is te vinden in het achtergronddocument bij deze tool. </t>
    </r>
  </si>
  <si>
    <t xml:space="preserve">Maaisels voor opwekking elektriciteit/warmte </t>
  </si>
  <si>
    <t>Maaisels voor opwekking elektriciteit/warmte</t>
  </si>
  <si>
    <t>Geef aan welke bewerkingsmethoden voor het groenafval van toepassing zijn. Geef voor de geselecteerde methoden aan hoeveel groenafval er naar de bewerkingsmethode gaat.</t>
  </si>
  <si>
    <t>er is een operationele weegbrug aanwezig;</t>
  </si>
  <si>
    <t xml:space="preserve">er is sprake van een Keurcompost of RHP gecertificeerde inrichting, of de inrichting voldoet aantoonbaar minimaal aan de eisen die Keurcompost stelt aan de bedrijfsvoering, de procesconditie en de compostkwaliteit; </t>
  </si>
  <si>
    <t xml:space="preserve">Marktverdeling compost </t>
  </si>
  <si>
    <t>akkerbouw, vollegrondstuinbouw en boomteelt</t>
  </si>
  <si>
    <t>Teeltsubstraten</t>
  </si>
  <si>
    <t>professioneel, consumententoepassingen, samengestelde producten</t>
  </si>
  <si>
    <t>tussenhandel, ophooggrond, GWW-sector</t>
  </si>
  <si>
    <t xml:space="preserve">Anders </t>
  </si>
  <si>
    <t>Selectie bewerkingsopties en transportafstanden</t>
  </si>
  <si>
    <t>Transportafstand</t>
  </si>
  <si>
    <t>Transport producten</t>
  </si>
  <si>
    <t>Transport (producten)</t>
  </si>
  <si>
    <t>Standaardwaarden Transport en voorbewerking</t>
  </si>
  <si>
    <t>km</t>
  </si>
  <si>
    <t>Standaardwaarden Bewerking</t>
  </si>
  <si>
    <t>Maaisels naar GFT-vergisting 
en nacompostering</t>
  </si>
  <si>
    <t>ton compost</t>
  </si>
  <si>
    <t>Transportafstand compost</t>
  </si>
  <si>
    <t>Transport naar de verwerkingsinrichting</t>
  </si>
  <si>
    <r>
      <t>CO</t>
    </r>
    <r>
      <rPr>
        <b/>
        <vertAlign val="subscript"/>
        <sz val="14"/>
        <color theme="1"/>
        <rFont val="Trebuchet MS"/>
        <family val="2"/>
        <scheme val="minor"/>
      </rPr>
      <t>2</t>
    </r>
    <r>
      <rPr>
        <b/>
        <sz val="14"/>
        <color theme="1"/>
        <rFont val="Trebuchet MS"/>
        <family val="2"/>
        <scheme val="minor"/>
      </rPr>
      <t>-tool groenafval - Transport en voorbewerking</t>
    </r>
  </si>
  <si>
    <t>Elektriciteit (onbekende bron)</t>
  </si>
  <si>
    <t>Bron</t>
  </si>
  <si>
    <t>Compostafzet</t>
  </si>
  <si>
    <t>Groenvoorziening</t>
  </si>
  <si>
    <t>anders dan gemeenten (incl. hoveniers en particulieren)</t>
  </si>
  <si>
    <t>0,5*'2. Transport en voorbewerking'!D33</t>
  </si>
  <si>
    <t xml:space="preserve">Oud: </t>
  </si>
  <si>
    <t>0,5*'2. Transport en voorbewerking'!D34</t>
  </si>
  <si>
    <t>Residu naar AEC/stort/hergebruik</t>
  </si>
  <si>
    <t>Naar hergebruik</t>
  </si>
  <si>
    <t>Residu naar hergebruik</t>
  </si>
  <si>
    <t>Lozing op riool</t>
  </si>
  <si>
    <t>Afvoer afvalwater per as</t>
  </si>
  <si>
    <t>Transportafstand afvoer</t>
  </si>
  <si>
    <t>Water naar RWZI (lozing op riool)</t>
  </si>
  <si>
    <t>Water naar RWZI (afvoer per as)</t>
  </si>
  <si>
    <t>Transport water naar RWZI</t>
  </si>
  <si>
    <r>
      <t>Netto kg CO</t>
    </r>
    <r>
      <rPr>
        <vertAlign val="subscript"/>
        <sz val="10"/>
        <color theme="2" tint="-0.499984740745262"/>
        <rFont val="Trebuchet MS"/>
        <family val="2"/>
        <scheme val="minor"/>
      </rPr>
      <t>2</t>
    </r>
    <r>
      <rPr>
        <sz val="10"/>
        <color theme="2" tint="-0.499984740745262"/>
        <rFont val="Trebuchet MS"/>
        <family val="2"/>
        <scheme val="minor"/>
      </rPr>
      <t>-eq. 
(per kg verwerkt groenafval)</t>
    </r>
  </si>
  <si>
    <t>kg verwerkt groenafval</t>
  </si>
  <si>
    <t xml:space="preserve">&gt; Geef aan welke bewerkingsmethoden voor het groenafval van toepassing zijn.
&gt; Geef voor de geselecteerde methoden aan hoeveel groenafval er naar de bewerkingsmethode gaat. 
   Voor compostafzet geldt dat het tonnage compostproduct wordt ingevuld. 
&gt; Geef voor de geselecteerde methoden aan wat de transportafstand van de verwerkingsinrichting naar 
   de afzetlocatie is. </t>
  </si>
  <si>
    <t xml:space="preserve">Deze waarde is vastgezet op 50% en hoeft niet meer in de tool ingevuld te worden. </t>
  </si>
  <si>
    <t>Datum</t>
  </si>
  <si>
    <t>Aanpassing</t>
  </si>
  <si>
    <t>Versie</t>
  </si>
  <si>
    <t>2.2</t>
  </si>
  <si>
    <t>Tabblad</t>
  </si>
  <si>
    <t>2. Transport en voorbewerking</t>
  </si>
  <si>
    <r>
      <t xml:space="preserve">Tekstuele toevoeging: </t>
    </r>
    <r>
      <rPr>
        <i/>
        <sz val="10"/>
        <color theme="1"/>
        <rFont val="Trebuchet MS"/>
        <family val="2"/>
      </rPr>
      <t>Voor compostafzet geldt dat het tonnage compostproduct wordt ingevuld.</t>
    </r>
  </si>
  <si>
    <t>3. Bewerking</t>
  </si>
  <si>
    <t xml:space="preserve">Onder 'Compostafzet' is het veld 'opbrengst compost' verwijderd. De waarde hiervan (50%) is als vaste waarde in de achtergrondberekeningen opgenomen. </t>
  </si>
  <si>
    <t>Benzine</t>
  </si>
  <si>
    <t xml:space="preserve">Benzine </t>
  </si>
  <si>
    <t xml:space="preserve">Bij "Energieverbruik verwerkingsinrichting" is de optie "benzine" toegevoegd. De standaardwaarde voor benzine is op 0 gezet. Deze aanpassing is ook verwerkt in het achtergronddocument. </t>
  </si>
  <si>
    <t xml:space="preserve">Ga door naar tabblad "2. Transport en voorbewerking". Vul hier de gegevens in over de aanvoer van het groenafval en de gegevens over de verwerkingsinrichting. Selecteer de verwerkingsopties die gebruikt worden. </t>
  </si>
  <si>
    <t xml:space="preserve">Bij "Marktverdeling compost" was de formule voor de cel bij "overig" weggevallen. Deze weer toegevoegd. </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</si>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</sst>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
  </numFmts>
  <fonts count="36" x14ac:knownFonts="1">
    <font>
      <sz val="10"/>
      <color theme="1"/>
      <name val="Trebuchet MS"/>
      <family val="2"/>
      <scheme val="minor"/>
    </font>
    <font>
      <sz val="10"/>
      <color theme="1"/>
      <name val="Trebuchet MS"/>
      <family val="2"/>
    </font>
    <font>
      <sz val="10"/>
      <color theme="1"/>
      <name val="Trebuchet MS"/>
      <family val="2"/>
    </font>
    <font>
      <sz val="10"/>
      <color theme="1"/>
      <name val="Trebuchet MS"/>
      <family val="2"/>
    </font>
    <font>
      <b/>
      <sz val="10"/>
      <color theme="1"/>
      <name val="Trebuchet MS"/>
      <family val="2"/>
      <scheme val="minor"/>
    </font>
    <font>
      <b/>
      <sz val="14"/>
      <color theme="1"/>
      <name val="Trebuchet MS"/>
      <family val="2"/>
      <scheme val="minor"/>
    </font>
    <font>
      <sz val="14"/>
      <color theme="1"/>
      <name val="Trebuchet MS"/>
      <family val="2"/>
      <scheme val="minor"/>
    </font>
    <font>
      <sz val="10"/>
      <color theme="9" tint="0.79998168889431442"/>
      <name val="Trebuchet MS"/>
      <family val="2"/>
      <scheme val="minor"/>
    </font>
    <font>
      <sz val="10"/>
      <color theme="1"/>
      <name val="Trebuchet MS"/>
      <family val="2"/>
      <scheme val="minor"/>
    </font>
    <font>
      <sz val="10"/>
      <color theme="2" tint="-0.499984740745262"/>
      <name val="Trebuchet MS"/>
      <family val="2"/>
      <scheme val="minor"/>
    </font>
    <font>
      <b/>
      <sz val="10"/>
      <color theme="2" tint="-0.499984740745262"/>
      <name val="Trebuchet MS"/>
      <family val="2"/>
      <scheme val="minor"/>
    </font>
    <font>
      <sz val="9"/>
      <color indexed="81"/>
      <name val="Tahoma"/>
      <family val="2"/>
    </font>
    <font>
      <b/>
      <sz val="9"/>
      <color indexed="81"/>
      <name val="Tahoma"/>
      <family val="2"/>
    </font>
    <font>
      <b/>
      <sz val="10"/>
      <name val="Trebuchet MS"/>
      <family val="2"/>
      <scheme val="minor"/>
    </font>
    <font>
      <sz val="10"/>
      <name val="Trebuchet MS"/>
      <family val="2"/>
      <scheme val="minor"/>
    </font>
    <font>
      <b/>
      <sz val="11"/>
      <color theme="1"/>
      <name val="Trebuchet MS"/>
      <family val="2"/>
      <scheme val="minor"/>
    </font>
    <font>
      <sz val="8"/>
      <color theme="1"/>
      <name val="Trebuchet MS"/>
      <family val="2"/>
      <scheme val="minor"/>
    </font>
    <font>
      <i/>
      <sz val="10"/>
      <color theme="1"/>
      <name val="Trebuchet MS"/>
      <family val="2"/>
      <scheme val="minor"/>
    </font>
    <font>
      <i/>
      <sz val="8"/>
      <color theme="1"/>
      <name val="Trebuchet MS"/>
      <family val="2"/>
      <scheme val="minor"/>
    </font>
    <font>
      <i/>
      <sz val="8"/>
      <color theme="1" tint="0.249977111117893"/>
      <name val="Trebuchet MS"/>
      <family val="2"/>
      <scheme val="minor"/>
    </font>
    <font>
      <i/>
      <sz val="9"/>
      <color theme="1" tint="0.249977111117893"/>
      <name val="Trebuchet MS"/>
      <family val="2"/>
      <scheme val="minor"/>
    </font>
    <font>
      <sz val="8.5"/>
      <color theme="1"/>
      <name val="Trebuchet MS"/>
      <family val="2"/>
      <scheme val="minor"/>
    </font>
    <font>
      <vertAlign val="subscript"/>
      <sz val="10"/>
      <color theme="1"/>
      <name val="Trebuchet MS"/>
      <family val="2"/>
      <scheme val="minor"/>
    </font>
    <font>
      <b/>
      <vertAlign val="subscript"/>
      <sz val="14"/>
      <color theme="1"/>
      <name val="Trebuchet MS"/>
      <family val="2"/>
      <scheme val="minor"/>
    </font>
    <font>
      <b/>
      <vertAlign val="subscript"/>
      <sz val="10"/>
      <color theme="1"/>
      <name val="Trebuchet MS"/>
      <family val="2"/>
      <scheme val="minor"/>
    </font>
    <font>
      <vertAlign val="subscript"/>
      <sz val="10"/>
      <color theme="2" tint="-0.499984740745262"/>
      <name val="Trebuchet MS"/>
      <family val="2"/>
      <scheme val="minor"/>
    </font>
    <font>
      <vertAlign val="superscript"/>
      <sz val="10"/>
      <color theme="2" tint="-0.499984740745262"/>
      <name val="Trebuchet MS"/>
      <family val="2"/>
      <scheme val="minor"/>
    </font>
    <font>
      <i/>
      <sz val="9"/>
      <color theme="1"/>
      <name val="Trebuchet MS"/>
      <family val="2"/>
      <scheme val="minor"/>
    </font>
    <font>
      <sz val="9"/>
      <color theme="1" tint="0.249977111117893"/>
      <name val="Calibri"/>
      <family val="2"/>
    </font>
    <font>
      <b/>
      <i/>
      <sz val="9"/>
      <color theme="1"/>
      <name val="Trebuchet MS"/>
      <family val="2"/>
      <scheme val="minor"/>
    </font>
    <font>
      <i/>
      <sz val="8"/>
      <color theme="2" tint="-0.499984740745262"/>
      <name val="Trebuchet MS"/>
      <family val="2"/>
      <scheme val="minor"/>
    </font>
    <font>
      <sz val="9"/>
      <color theme="1"/>
      <name val="Trebuchet MS"/>
      <family val="2"/>
      <scheme val="minor"/>
    </font>
    <font>
      <sz val="10"/>
      <color theme="1"/>
      <name val="Trebuchet MS"/>
      <family val="2"/>
    </font>
    <font>
      <sz val="10"/>
      <color theme="1" tint="0.499984740745262"/>
      <name val="Trebuchet MS"/>
      <family val="2"/>
      <scheme val="minor"/>
    </font>
    <font>
      <sz val="8"/>
      <color rgb="FF000000"/>
      <name val="Segoe UI"/>
      <family val="2"/>
    </font>
    <font>
      <i/>
      <sz val="10"/>
      <color theme="1"/>
      <name val="Trebuchet MS"/>
      <family val="2"/>
    </font>
  </fonts>
  <fills count="14">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B5C0E5"/>
        <bgColor indexed="64"/>
      </patternFill>
    </fill>
    <fill>
      <patternFill patternType="solid">
        <fgColor rgb="FFFF9999"/>
        <bgColor indexed="64"/>
      </patternFill>
    </fill>
    <fill>
      <patternFill patternType="solid">
        <fgColor theme="0" tint="-4.9989318521683403E-2"/>
        <bgColor indexed="64"/>
      </patternFill>
    </fill>
    <fill>
      <patternFill patternType="solid">
        <fgColor theme="8"/>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9"/>
      </right>
      <top/>
      <bottom/>
      <diagonal/>
    </border>
    <border>
      <left style="double">
        <color indexed="64"/>
      </left>
      <right style="double">
        <color indexed="64"/>
      </right>
      <top style="double">
        <color indexed="64"/>
      </top>
      <bottom style="double">
        <color indexed="64"/>
      </bottom>
      <diagonal/>
    </border>
    <border>
      <left/>
      <right/>
      <top style="thin">
        <color theme="8" tint="-0.499984740745262"/>
      </top>
      <bottom/>
      <diagonal/>
    </border>
    <border>
      <left style="thin">
        <color theme="9" tint="0.59999389629810485"/>
      </left>
      <right/>
      <top style="thin">
        <color theme="9" tint="0.59999389629810485"/>
      </top>
      <bottom/>
      <diagonal/>
    </border>
    <border>
      <left/>
      <right/>
      <top style="thin">
        <color theme="9" tint="0.59999389629810485"/>
      </top>
      <bottom/>
      <diagonal/>
    </border>
    <border>
      <left/>
      <right style="thin">
        <color theme="9" tint="0.59999389629810485"/>
      </right>
      <top style="thin">
        <color theme="9" tint="0.59999389629810485"/>
      </top>
      <bottom/>
      <diagonal/>
    </border>
    <border>
      <left style="thin">
        <color theme="9" tint="0.59999389629810485"/>
      </left>
      <right/>
      <top/>
      <bottom/>
      <diagonal/>
    </border>
    <border>
      <left/>
      <right style="thin">
        <color theme="9" tint="0.59999389629810485"/>
      </right>
      <top/>
      <bottom/>
      <diagonal/>
    </border>
    <border>
      <left style="thin">
        <color theme="9" tint="0.59999389629810485"/>
      </left>
      <right/>
      <top/>
      <bottom style="thin">
        <color theme="9" tint="0.59999389629810485"/>
      </bottom>
      <diagonal/>
    </border>
    <border>
      <left/>
      <right/>
      <top/>
      <bottom style="thin">
        <color theme="9" tint="0.59999389629810485"/>
      </bottom>
      <diagonal/>
    </border>
    <border>
      <left/>
      <right style="thin">
        <color theme="9" tint="0.59999389629810485"/>
      </right>
      <top/>
      <bottom style="thin">
        <color theme="9" tint="0.59999389629810485"/>
      </bottom>
      <diagonal/>
    </border>
  </borders>
  <cellStyleXfs count="4">
    <xf numFmtId="0" fontId="0" fillId="0" borderId="0"/>
    <xf numFmtId="9" fontId="8" fillId="0" borderId="0" applyFont="0" applyFill="0" applyBorder="0" applyAlignment="0" applyProtection="0"/>
    <xf numFmtId="0" fontId="32" fillId="0" borderId="0" applyNumberFormat="0" applyAlignment="0"/>
    <xf numFmtId="0" fontId="3" fillId="0" borderId="0" applyNumberFormat="0" applyAlignment="0"/>
  </cellStyleXfs>
  <cellXfs count="174">
    <xf numFmtId="0" fontId="0" fillId="0" borderId="0" xfId="0"/>
    <xf numFmtId="0" fontId="0" fillId="2" borderId="0" xfId="0" applyFill="1"/>
    <xf numFmtId="0" fontId="0" fillId="3" borderId="0" xfId="0" applyFill="1"/>
    <xf numFmtId="0" fontId="4" fillId="2" borderId="0" xfId="0" applyFont="1" applyFill="1"/>
    <xf numFmtId="0" fontId="0" fillId="2" borderId="0" xfId="0" applyFill="1" applyAlignment="1">
      <alignment horizontal="left" indent="1"/>
    </xf>
    <xf numFmtId="0" fontId="0" fillId="0" borderId="1" xfId="0" applyBorder="1"/>
    <xf numFmtId="0" fontId="4" fillId="2" borderId="0" xfId="0" applyFont="1" applyFill="1" applyAlignment="1">
      <alignment horizontal="left"/>
    </xf>
    <xf numFmtId="0" fontId="0" fillId="0" borderId="0" xfId="0" applyAlignment="1">
      <alignment wrapText="1"/>
    </xf>
    <xf numFmtId="3" fontId="0" fillId="0" borderId="0" xfId="0" applyNumberFormat="1"/>
    <xf numFmtId="0" fontId="4" fillId="0" borderId="0" xfId="0" applyFont="1"/>
    <xf numFmtId="0" fontId="0" fillId="0" borderId="0" xfId="0" applyAlignment="1">
      <alignment horizontal="left" indent="1"/>
    </xf>
    <xf numFmtId="0" fontId="4" fillId="0" borderId="0" xfId="0" applyFont="1" applyAlignment="1">
      <alignment horizontal="left"/>
    </xf>
    <xf numFmtId="0" fontId="0" fillId="0" borderId="1" xfId="0" applyBorder="1" applyAlignment="1">
      <alignment wrapText="1"/>
    </xf>
    <xf numFmtId="0" fontId="0" fillId="0" borderId="1" xfId="0" applyBorder="1" applyAlignment="1">
      <alignment horizontal="left" indent="1"/>
    </xf>
    <xf numFmtId="9" fontId="0" fillId="0" borderId="1" xfId="1" applyFont="1" applyBorder="1"/>
    <xf numFmtId="0" fontId="10" fillId="2" borderId="0" xfId="0" applyFont="1" applyFill="1"/>
    <xf numFmtId="0" fontId="9" fillId="2" borderId="0" xfId="0" applyFont="1" applyFill="1" applyAlignment="1">
      <alignment horizontal="left" indent="1"/>
    </xf>
    <xf numFmtId="0" fontId="9" fillId="2" borderId="0" xfId="0" applyFont="1" applyFill="1"/>
    <xf numFmtId="0" fontId="10" fillId="2" borderId="0" xfId="0" applyFont="1" applyFill="1" applyAlignment="1">
      <alignment horizontal="left"/>
    </xf>
    <xf numFmtId="0" fontId="0" fillId="5" borderId="1" xfId="0" applyFill="1" applyBorder="1"/>
    <xf numFmtId="0" fontId="0" fillId="5" borderId="2" xfId="0" applyFill="1" applyBorder="1"/>
    <xf numFmtId="0" fontId="0" fillId="6" borderId="0" xfId="0" applyFill="1"/>
    <xf numFmtId="9" fontId="0" fillId="6" borderId="1" xfId="0" applyNumberFormat="1" applyFill="1" applyBorder="1"/>
    <xf numFmtId="9" fontId="0" fillId="6" borderId="1" xfId="1" applyFont="1" applyFill="1" applyBorder="1"/>
    <xf numFmtId="9" fontId="0" fillId="5" borderId="1" xfId="1" applyFont="1" applyFill="1" applyBorder="1"/>
    <xf numFmtId="0" fontId="0" fillId="5" borderId="1" xfId="1" applyNumberFormat="1" applyFont="1" applyFill="1" applyBorder="1"/>
    <xf numFmtId="164" fontId="0" fillId="0" borderId="0" xfId="0" applyNumberFormat="1"/>
    <xf numFmtId="1" fontId="0" fillId="0" borderId="0" xfId="0" applyNumberFormat="1"/>
    <xf numFmtId="9" fontId="0" fillId="0" borderId="0" xfId="0" applyNumberFormat="1"/>
    <xf numFmtId="0" fontId="0" fillId="0" borderId="0" xfId="0" applyAlignment="1">
      <alignment horizontal="left" indent="2"/>
    </xf>
    <xf numFmtId="1" fontId="0" fillId="0" borderId="1" xfId="0" applyNumberFormat="1" applyBorder="1"/>
    <xf numFmtId="0" fontId="13" fillId="2" borderId="0" xfId="0" applyFont="1" applyFill="1" applyAlignment="1">
      <alignment horizontal="left"/>
    </xf>
    <xf numFmtId="0" fontId="14" fillId="2" borderId="0" xfId="0" applyFont="1" applyFill="1" applyAlignment="1">
      <alignment horizontal="left" indent="1"/>
    </xf>
    <xf numFmtId="0" fontId="14" fillId="2" borderId="0" xfId="0" applyFont="1" applyFill="1"/>
    <xf numFmtId="0" fontId="13" fillId="2" borderId="0" xfId="0" applyFont="1" applyFill="1"/>
    <xf numFmtId="0" fontId="14" fillId="5" borderId="1" xfId="0" applyFont="1" applyFill="1" applyBorder="1"/>
    <xf numFmtId="0" fontId="5" fillId="2" borderId="0" xfId="0" applyFont="1" applyFill="1" applyAlignment="1">
      <alignment horizontal="center" vertical="center"/>
    </xf>
    <xf numFmtId="0" fontId="15" fillId="0" borderId="0" xfId="0" applyFont="1"/>
    <xf numFmtId="0" fontId="9" fillId="2" borderId="0" xfId="0" applyFont="1" applyFill="1" applyAlignment="1">
      <alignment horizontal="left" indent="2"/>
    </xf>
    <xf numFmtId="0" fontId="0" fillId="7" borderId="0" xfId="0" applyFill="1"/>
    <xf numFmtId="0" fontId="6" fillId="2" borderId="0" xfId="0" applyFont="1" applyFill="1" applyAlignment="1">
      <alignment horizontal="center" vertical="center"/>
    </xf>
    <xf numFmtId="0" fontId="0" fillId="0" borderId="6" xfId="0" applyBorder="1"/>
    <xf numFmtId="0" fontId="0" fillId="2" borderId="0" xfId="0" applyFill="1" applyAlignment="1">
      <alignment vertical="top" wrapText="1"/>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indent="1"/>
    </xf>
    <xf numFmtId="0" fontId="0" fillId="0" borderId="0" xfId="0" applyAlignment="1">
      <alignment vertical="top"/>
    </xf>
    <xf numFmtId="0" fontId="0" fillId="5" borderId="0" xfId="0" applyFill="1"/>
    <xf numFmtId="0" fontId="9" fillId="2" borderId="5" xfId="0" applyFont="1" applyFill="1" applyBorder="1" applyAlignment="1">
      <alignment horizontal="left" wrapText="1"/>
    </xf>
    <xf numFmtId="0" fontId="0" fillId="5" borderId="1" xfId="0" applyFill="1" applyBorder="1" applyProtection="1">
      <protection locked="0"/>
    </xf>
    <xf numFmtId="0" fontId="0" fillId="2" borderId="0" xfId="0" applyFill="1" applyProtection="1">
      <protection locked="0"/>
    </xf>
    <xf numFmtId="0" fontId="14" fillId="6" borderId="0" xfId="0" applyFont="1" applyFill="1"/>
    <xf numFmtId="0" fontId="0" fillId="0" borderId="8" xfId="0" applyBorder="1"/>
    <xf numFmtId="0" fontId="0" fillId="8" borderId="0" xfId="0" applyFill="1"/>
    <xf numFmtId="0" fontId="0" fillId="8" borderId="0" xfId="0" applyFill="1" applyAlignment="1">
      <alignment horizontal="left" indent="1"/>
    </xf>
    <xf numFmtId="1" fontId="4" fillId="2" borderId="0" xfId="0" applyNumberFormat="1" applyFont="1" applyFill="1"/>
    <xf numFmtId="164" fontId="0" fillId="2" borderId="0" xfId="0" applyNumberFormat="1" applyFill="1"/>
    <xf numFmtId="0" fontId="0" fillId="9" borderId="0" xfId="0" applyFill="1"/>
    <xf numFmtId="1" fontId="0" fillId="9" borderId="0" xfId="0" applyNumberFormat="1" applyFill="1"/>
    <xf numFmtId="0" fontId="4" fillId="8" borderId="0" xfId="0" applyFont="1" applyFill="1" applyAlignment="1">
      <alignment horizontal="left" indent="1"/>
    </xf>
    <xf numFmtId="0" fontId="0" fillId="4" borderId="1" xfId="0" applyFill="1" applyBorder="1" applyProtection="1">
      <protection locked="0"/>
    </xf>
    <xf numFmtId="0" fontId="0" fillId="4" borderId="1" xfId="0" applyFill="1" applyBorder="1" applyAlignment="1" applyProtection="1">
      <alignment horizontal="left"/>
      <protection locked="0"/>
    </xf>
    <xf numFmtId="1" fontId="0" fillId="0" borderId="1" xfId="0" applyNumberFormat="1" applyBorder="1" applyProtection="1">
      <protection locked="0"/>
    </xf>
    <xf numFmtId="0" fontId="0" fillId="0" borderId="1" xfId="0" applyBorder="1" applyProtection="1">
      <protection locked="0"/>
    </xf>
    <xf numFmtId="0" fontId="0" fillId="0" borderId="4" xfId="0" applyBorder="1" applyProtection="1">
      <protection locked="0"/>
    </xf>
    <xf numFmtId="0" fontId="0" fillId="5" borderId="7" xfId="0" applyFill="1" applyBorder="1" applyAlignment="1" applyProtection="1">
      <alignment horizontal="left" indent="1"/>
      <protection locked="0"/>
    </xf>
    <xf numFmtId="0" fontId="0" fillId="5" borderId="4" xfId="0" applyFill="1" applyBorder="1" applyProtection="1">
      <protection locked="0"/>
    </xf>
    <xf numFmtId="0" fontId="14" fillId="2" borderId="0" xfId="0" applyFont="1" applyFill="1" applyProtection="1">
      <protection locked="0"/>
    </xf>
    <xf numFmtId="0" fontId="0" fillId="0" borderId="0" xfId="0" applyProtection="1">
      <protection locked="0"/>
    </xf>
    <xf numFmtId="9" fontId="0" fillId="5" borderId="1" xfId="1" applyFont="1" applyFill="1" applyBorder="1" applyProtection="1">
      <protection locked="0"/>
    </xf>
    <xf numFmtId="0" fontId="0" fillId="5" borderId="2" xfId="0" applyFill="1" applyBorder="1" applyProtection="1">
      <protection locked="0"/>
    </xf>
    <xf numFmtId="0" fontId="0" fillId="5" borderId="1" xfId="1" applyNumberFormat="1" applyFont="1" applyFill="1" applyBorder="1" applyProtection="1">
      <protection locked="0"/>
    </xf>
    <xf numFmtId="0" fontId="14" fillId="5" borderId="1" xfId="0" applyFont="1" applyFill="1" applyBorder="1" applyProtection="1">
      <protection locked="0"/>
    </xf>
    <xf numFmtId="0" fontId="18" fillId="2" borderId="0" xfId="0" applyFont="1" applyFill="1"/>
    <xf numFmtId="0" fontId="21" fillId="2" borderId="0" xfId="0" applyFont="1" applyFill="1" applyAlignment="1">
      <alignment vertical="top" wrapText="1"/>
    </xf>
    <xf numFmtId="0" fontId="0" fillId="2" borderId="0" xfId="0" applyFill="1" applyAlignment="1">
      <alignment horizontal="left" vertical="top" wrapText="1"/>
    </xf>
    <xf numFmtId="0" fontId="21" fillId="2" borderId="0" xfId="0" applyFont="1" applyFill="1" applyAlignment="1">
      <alignment vertical="center" wrapText="1"/>
    </xf>
    <xf numFmtId="0" fontId="4" fillId="2" borderId="0" xfId="0" applyFont="1" applyFill="1" applyAlignment="1">
      <alignment horizontal="left" indent="1"/>
    </xf>
    <xf numFmtId="1" fontId="0" fillId="2" borderId="0" xfId="0" applyNumberFormat="1" applyFill="1"/>
    <xf numFmtId="164" fontId="4" fillId="2" borderId="0" xfId="0" applyNumberFormat="1" applyFont="1" applyFill="1"/>
    <xf numFmtId="0" fontId="20" fillId="2" borderId="0" xfId="0" applyFont="1" applyFill="1" applyAlignment="1">
      <alignment vertical="top" wrapText="1"/>
    </xf>
    <xf numFmtId="1" fontId="0" fillId="9" borderId="9" xfId="0" applyNumberFormat="1" applyFill="1" applyBorder="1"/>
    <xf numFmtId="1" fontId="0" fillId="9" borderId="10" xfId="0" applyNumberFormat="1" applyFill="1" applyBorder="1"/>
    <xf numFmtId="1" fontId="0" fillId="9" borderId="11" xfId="0" applyNumberFormat="1" applyFill="1" applyBorder="1"/>
    <xf numFmtId="1" fontId="0" fillId="9" borderId="12" xfId="0" applyNumberFormat="1" applyFill="1" applyBorder="1"/>
    <xf numFmtId="1" fontId="0" fillId="9" borderId="13" xfId="0" applyNumberFormat="1" applyFill="1" applyBorder="1"/>
    <xf numFmtId="1" fontId="0" fillId="9" borderId="14" xfId="0" applyNumberFormat="1" applyFill="1" applyBorder="1"/>
    <xf numFmtId="1" fontId="0" fillId="9" borderId="15" xfId="0" applyNumberFormat="1" applyFill="1" applyBorder="1"/>
    <xf numFmtId="1" fontId="0" fillId="9" borderId="16" xfId="0" applyNumberFormat="1" applyFill="1" applyBorder="1"/>
    <xf numFmtId="0" fontId="30" fillId="2" borderId="0" xfId="0" applyFont="1" applyFill="1" applyAlignment="1">
      <alignment horizontal="left" indent="2"/>
    </xf>
    <xf numFmtId="9" fontId="0" fillId="2" borderId="0" xfId="0" applyNumberFormat="1" applyFill="1"/>
    <xf numFmtId="0" fontId="30" fillId="2" borderId="0" xfId="0" applyFont="1" applyFill="1" applyAlignment="1">
      <alignment horizontal="left" vertical="top" indent="2"/>
    </xf>
    <xf numFmtId="0" fontId="0" fillId="11" borderId="0" xfId="0" applyFill="1"/>
    <xf numFmtId="0" fontId="4" fillId="3" borderId="0" xfId="0" applyFont="1" applyFill="1"/>
    <xf numFmtId="0" fontId="31" fillId="9" borderId="0" xfId="0" applyFont="1" applyFill="1" applyAlignment="1">
      <alignment horizontal="left" vertical="top" wrapText="1"/>
    </xf>
    <xf numFmtId="0" fontId="31" fillId="9" borderId="0" xfId="0" applyFont="1" applyFill="1" applyAlignment="1">
      <alignment vertical="top" wrapText="1"/>
    </xf>
    <xf numFmtId="0" fontId="31" fillId="8" borderId="0" xfId="0" applyFont="1" applyFill="1"/>
    <xf numFmtId="0" fontId="31" fillId="8" borderId="0" xfId="0" applyFont="1" applyFill="1" applyAlignment="1">
      <alignment wrapText="1"/>
    </xf>
    <xf numFmtId="0" fontId="4" fillId="8" borderId="0" xfId="0" applyFont="1" applyFill="1"/>
    <xf numFmtId="0" fontId="0" fillId="0" borderId="0" xfId="0" applyAlignment="1">
      <alignment horizontal="left" vertical="top" wrapText="1"/>
    </xf>
    <xf numFmtId="0" fontId="0" fillId="0" borderId="0" xfId="0" applyAlignment="1">
      <alignment vertical="top" wrapText="1"/>
    </xf>
    <xf numFmtId="1" fontId="0" fillId="9" borderId="15" xfId="0" applyNumberFormat="1" applyFill="1" applyBorder="1" applyAlignment="1">
      <alignment horizontal="left"/>
    </xf>
    <xf numFmtId="0" fontId="0" fillId="12" borderId="0" xfId="0" applyFill="1"/>
    <xf numFmtId="0" fontId="19" fillId="0" borderId="0" xfId="0" applyFont="1" applyAlignment="1">
      <alignment horizontal="left" indent="2"/>
    </xf>
    <xf numFmtId="0" fontId="17" fillId="0" borderId="0" xfId="0" applyFont="1" applyAlignment="1">
      <alignment vertical="top" wrapText="1"/>
    </xf>
    <xf numFmtId="0" fontId="17" fillId="0" borderId="0" xfId="0" applyFont="1"/>
    <xf numFmtId="0" fontId="10" fillId="0" borderId="0" xfId="0" applyFont="1"/>
    <xf numFmtId="0" fontId="9" fillId="0" borderId="0" xfId="0" applyFont="1" applyAlignment="1">
      <alignment horizontal="left" indent="1"/>
    </xf>
    <xf numFmtId="0" fontId="9" fillId="0" borderId="0" xfId="0" applyFont="1"/>
    <xf numFmtId="0" fontId="30" fillId="0" borderId="0" xfId="0" applyFont="1" applyAlignment="1">
      <alignment horizontal="left" indent="2"/>
    </xf>
    <xf numFmtId="0" fontId="30" fillId="0" borderId="0" xfId="0" applyFont="1" applyAlignment="1">
      <alignment horizontal="left" vertical="top" indent="2"/>
    </xf>
    <xf numFmtId="0" fontId="9" fillId="0" borderId="0" xfId="0" applyFont="1" applyAlignment="1">
      <alignment horizontal="left" indent="2"/>
    </xf>
    <xf numFmtId="0" fontId="10" fillId="0" borderId="0" xfId="0" applyFont="1" applyAlignment="1">
      <alignment horizontal="left"/>
    </xf>
    <xf numFmtId="0" fontId="0" fillId="0" borderId="2" xfId="0" applyBorder="1" applyProtection="1">
      <protection locked="0"/>
    </xf>
    <xf numFmtId="0" fontId="0" fillId="0" borderId="1" xfId="1" applyNumberFormat="1" applyFont="1" applyFill="1" applyBorder="1" applyProtection="1">
      <protection locked="0"/>
    </xf>
    <xf numFmtId="0" fontId="14" fillId="0" borderId="0" xfId="0" applyFont="1"/>
    <xf numFmtId="0" fontId="14" fillId="0" borderId="1" xfId="0" applyFont="1" applyBorder="1" applyProtection="1">
      <protection locked="0"/>
    </xf>
    <xf numFmtId="0" fontId="0" fillId="13" borderId="1" xfId="0" applyFill="1" applyBorder="1"/>
    <xf numFmtId="0" fontId="10" fillId="2" borderId="0" xfId="0" applyFont="1" applyFill="1" applyAlignment="1">
      <alignment vertical="top"/>
    </xf>
    <xf numFmtId="0" fontId="10" fillId="2" borderId="0" xfId="0" applyFont="1" applyFill="1" applyAlignment="1">
      <alignment vertical="top" wrapText="1"/>
    </xf>
    <xf numFmtId="0" fontId="4" fillId="2" borderId="0" xfId="0" applyFont="1" applyFill="1" applyAlignment="1">
      <alignment vertical="top"/>
    </xf>
    <xf numFmtId="0" fontId="0" fillId="2" borderId="0" xfId="0" applyFill="1" applyAlignment="1">
      <alignment wrapText="1"/>
    </xf>
    <xf numFmtId="0" fontId="19" fillId="2" borderId="0" xfId="0" applyFont="1" applyFill="1" applyAlignment="1">
      <alignment horizontal="left" indent="2"/>
    </xf>
    <xf numFmtId="0" fontId="17" fillId="2" borderId="0" xfId="0" applyFont="1" applyFill="1" applyAlignment="1">
      <alignment vertical="top" wrapText="1"/>
    </xf>
    <xf numFmtId="0" fontId="17" fillId="2" borderId="0" xfId="0" applyFont="1" applyFill="1"/>
    <xf numFmtId="0" fontId="7" fillId="2" borderId="0" xfId="0" applyFont="1" applyFill="1"/>
    <xf numFmtId="9" fontId="0" fillId="5" borderId="2" xfId="1" applyFont="1" applyFill="1" applyBorder="1" applyProtection="1">
      <protection locked="0"/>
    </xf>
    <xf numFmtId="9" fontId="0" fillId="5" borderId="2" xfId="1" applyFont="1" applyFill="1" applyBorder="1"/>
    <xf numFmtId="9" fontId="0" fillId="5" borderId="1" xfId="1" applyFont="1" applyFill="1" applyBorder="1" applyProtection="1"/>
    <xf numFmtId="0" fontId="10" fillId="2" borderId="0" xfId="0" applyFont="1" applyFill="1" applyAlignment="1">
      <alignment horizontal="left" vertical="top"/>
    </xf>
    <xf numFmtId="0" fontId="9" fillId="2" borderId="1" xfId="0" applyFont="1" applyFill="1" applyBorder="1" applyAlignment="1">
      <alignment horizontal="center" wrapText="1"/>
    </xf>
    <xf numFmtId="165" fontId="0" fillId="9" borderId="0" xfId="0" applyNumberFormat="1" applyFill="1"/>
    <xf numFmtId="0" fontId="33" fillId="0" borderId="0" xfId="0" applyFont="1"/>
    <xf numFmtId="3" fontId="0" fillId="9" borderId="0" xfId="0" applyNumberFormat="1" applyFill="1"/>
    <xf numFmtId="165" fontId="4" fillId="9" borderId="0" xfId="0" applyNumberFormat="1" applyFont="1" applyFill="1"/>
    <xf numFmtId="165" fontId="31" fillId="9" borderId="0" xfId="0" applyNumberFormat="1" applyFont="1" applyFill="1"/>
    <xf numFmtId="3" fontId="31" fillId="9" borderId="0" xfId="0" applyNumberFormat="1" applyFont="1" applyFill="1"/>
    <xf numFmtId="3" fontId="4" fillId="9" borderId="0" xfId="0" applyNumberFormat="1" applyFont="1" applyFill="1"/>
    <xf numFmtId="0" fontId="3" fillId="0" borderId="0" xfId="3"/>
    <xf numFmtId="0" fontId="3" fillId="0" borderId="1" xfId="3" applyBorder="1"/>
    <xf numFmtId="3" fontId="3" fillId="0" borderId="1" xfId="3" applyNumberFormat="1" applyBorder="1"/>
    <xf numFmtId="0" fontId="3" fillId="0" borderId="1" xfId="3" applyBorder="1" applyAlignment="1">
      <alignment wrapText="1"/>
    </xf>
    <xf numFmtId="17" fontId="3" fillId="0" borderId="1" xfId="3" applyNumberFormat="1" applyBorder="1" applyAlignment="1">
      <alignment wrapText="1"/>
    </xf>
    <xf numFmtId="166" fontId="0" fillId="6" borderId="0" xfId="0" applyNumberFormat="1" applyFill="1"/>
    <xf numFmtId="0" fontId="2" fillId="0" borderId="1" xfId="3" applyFont="1" applyBorder="1" applyAlignment="1">
      <alignment wrapText="1"/>
    </xf>
    <xf numFmtId="0" fontId="5" fillId="3" borderId="0" xfId="0" applyFont="1" applyFill="1" applyAlignment="1">
      <alignment horizontal="center" vertical="center"/>
    </xf>
    <xf numFmtId="0" fontId="6" fillId="3" borderId="0" xfId="0" applyFont="1" applyFill="1" applyAlignment="1">
      <alignment horizontal="center" vertical="center"/>
    </xf>
    <xf numFmtId="0" fontId="0" fillId="2" borderId="0" xfId="0" applyFill="1" applyAlignment="1">
      <alignment horizontal="left" vertical="top" wrapText="1"/>
    </xf>
    <xf numFmtId="0" fontId="0" fillId="2" borderId="0" xfId="0" applyFill="1" applyAlignment="1">
      <alignment horizontal="left" indent="1"/>
    </xf>
    <xf numFmtId="0" fontId="0" fillId="2" borderId="0" xfId="0" applyFill="1" applyAlignment="1">
      <alignment vertical="top" wrapText="1"/>
    </xf>
    <xf numFmtId="0" fontId="0" fillId="2" borderId="0" xfId="0" applyFill="1" applyAlignment="1">
      <alignment horizontal="left" vertical="top" wrapText="1" indent="1"/>
    </xf>
    <xf numFmtId="0" fontId="0" fillId="2" borderId="0" xfId="0" applyFill="1" applyAlignment="1">
      <alignment horizontal="left" vertical="center" wrapText="1"/>
    </xf>
    <xf numFmtId="0" fontId="4" fillId="2" borderId="0" xfId="0" applyFont="1" applyFill="1" applyAlignment="1">
      <alignment horizontal="center" vertical="center"/>
    </xf>
    <xf numFmtId="0" fontId="0" fillId="10" borderId="0" xfId="0" applyFill="1" applyAlignment="1">
      <alignment horizontal="left" vertical="top" wrapText="1"/>
    </xf>
    <xf numFmtId="0" fontId="0" fillId="3" borderId="0" xfId="0" applyFill="1" applyAlignment="1">
      <alignment horizontal="center"/>
    </xf>
    <xf numFmtId="0" fontId="17" fillId="2" borderId="0" xfId="0" applyFont="1" applyFill="1" applyAlignment="1">
      <alignment horizontal="left" vertical="top" wrapText="1"/>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9" fillId="2" borderId="1" xfId="0" applyFont="1" applyFill="1" applyBorder="1" applyAlignment="1">
      <alignment horizontal="center" wrapText="1"/>
    </xf>
    <xf numFmtId="0" fontId="20" fillId="2" borderId="0" xfId="0" applyFont="1" applyFill="1" applyAlignment="1">
      <alignment horizontal="left" vertical="top" wrapText="1"/>
    </xf>
    <xf numFmtId="0" fontId="21" fillId="10" borderId="0" xfId="0" applyFont="1" applyFill="1" applyAlignment="1">
      <alignment horizontal="left" vertical="center" wrapText="1"/>
    </xf>
    <xf numFmtId="0" fontId="21" fillId="2" borderId="0" xfId="0" applyFont="1" applyFill="1" applyAlignment="1">
      <alignment horizontal="left" vertical="center" wrapText="1"/>
    </xf>
    <xf numFmtId="0" fontId="4" fillId="3" borderId="0" xfId="0" applyFont="1" applyFill="1" applyAlignment="1">
      <alignment horizontal="center"/>
    </xf>
    <xf numFmtId="3" fontId="0" fillId="2" borderId="0" xfId="0" applyNumberFormat="1" applyFill="1" applyAlignment="1">
      <alignment horizontal="center"/>
    </xf>
    <xf numFmtId="0" fontId="15" fillId="3" borderId="0" xfId="0" applyFont="1" applyFill="1" applyAlignment="1">
      <alignment horizontal="center"/>
    </xf>
    <xf numFmtId="0" fontId="31" fillId="9" borderId="0" xfId="0" applyFont="1" applyFill="1" applyAlignment="1">
      <alignment horizontal="left" vertical="top" wrapText="1"/>
    </xf>
    <xf numFmtId="0" fontId="31" fillId="9" borderId="0" xfId="0" applyFont="1" applyFill="1" applyAlignment="1">
      <alignment horizontal="left" vertical="top"/>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vertical="top"/>
    </xf>
    <xf numFmtId="0" fontId="17" fillId="0" borderId="0" xfId="0" applyFont="1" applyAlignment="1">
      <alignment horizontal="left" vertical="top" wrapText="1"/>
    </xf>
    <xf numFmtId="0" fontId="1" fillId="0" borderId="1" xfId="3" applyFont="1" applyBorder="1" applyAlignment="1">
      <alignment wrapText="1"/>
    </xf>
    <xf numFmtId="0" fontId="1" fillId="0" borderId="1" xfId="3" applyFont="1" applyBorder="1"/>
  </cellXfs>
  <cellStyles count="4">
    <cellStyle name="Procent" xfId="1" builtinId="5"/>
    <cellStyle name="Standaard" xfId="0" builtinId="0" customBuiltin="1"/>
    <cellStyle name="Standaard 2" xfId="2" xr:uid="{65A30F82-A44C-48AD-9D05-9DC5CB179845}"/>
    <cellStyle name="Standaard 3" xfId="3" xr:uid="{EBB25D3F-7958-4F74-8596-0102040A1B52}"/>
  </cellStyles>
  <dxfs count="168">
    <dxf>
      <font>
        <color theme="1"/>
      </font>
    </dxf>
    <dxf>
      <font>
        <color theme="1"/>
      </font>
    </dxf>
    <dxf>
      <font>
        <color theme="1"/>
      </font>
    </dxf>
    <dxf>
      <font>
        <color theme="1"/>
      </font>
    </dxf>
    <dxf>
      <font>
        <color theme="1"/>
      </font>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ont>
        <color theme="1"/>
      </font>
    </dxf>
    <dxf>
      <font>
        <color theme="1"/>
      </font>
    </dxf>
    <dxf>
      <fill>
        <patternFill>
          <bgColor theme="2"/>
        </patternFill>
      </fill>
    </dxf>
    <dxf>
      <font>
        <color theme="1"/>
      </font>
    </dxf>
    <dxf>
      <fill>
        <patternFill>
          <bgColor theme="2"/>
        </patternFill>
      </fill>
    </dxf>
    <dxf>
      <font>
        <color theme="1"/>
      </font>
    </dxf>
    <dxf>
      <fill>
        <patternFill>
          <bgColor theme="2"/>
        </patternFill>
      </fill>
    </dxf>
    <dxf>
      <font>
        <color theme="1"/>
      </font>
    </dxf>
    <dxf>
      <fill>
        <patternFill>
          <bgColor theme="2"/>
        </patternFill>
      </fill>
    </dxf>
    <dxf>
      <font>
        <color theme="1"/>
      </font>
    </dxf>
    <dxf>
      <fill>
        <patternFill>
          <bgColor theme="2"/>
        </patternFill>
      </fill>
    </dxf>
    <dxf>
      <font>
        <color theme="1"/>
      </font>
    </dxf>
    <dxf>
      <fill>
        <patternFill>
          <bgColor theme="2"/>
        </patternFill>
      </fill>
    </dxf>
    <dxf>
      <font>
        <color theme="1"/>
      </font>
    </dxf>
    <dxf>
      <fill>
        <patternFill>
          <bgColor theme="2"/>
        </patternFill>
      </fill>
    </dxf>
    <dxf>
      <fill>
        <patternFill>
          <bgColor theme="2"/>
        </patternFill>
      </fill>
    </dxf>
    <dxf>
      <font>
        <color theme="1"/>
      </font>
    </dxf>
    <dxf>
      <fill>
        <patternFill patternType="solid">
          <bgColor theme="2"/>
        </patternFill>
      </fill>
    </dxf>
    <dxf>
      <fill>
        <patternFill>
          <bgColor theme="2" tint="-0.24994659260841701"/>
        </patternFill>
      </fill>
      <border>
        <left/>
        <right/>
        <top/>
        <bottom/>
        <vertical/>
        <horizontal/>
      </border>
    </dxf>
    <dxf>
      <fill>
        <patternFill>
          <bgColor theme="8" tint="0.79998168889431442"/>
        </patternFill>
      </fill>
      <border>
        <left/>
        <right/>
        <top/>
        <bottom/>
      </border>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fill>
        <patternFill patternType="none">
          <bgColor auto="1"/>
        </patternFill>
      </fill>
    </dxf>
    <dxf>
      <font>
        <color rgb="FFFF0000"/>
      </font>
    </dxf>
    <dxf>
      <font>
        <color rgb="FF0070C0"/>
      </font>
      <fill>
        <patternFill patternType="none">
          <bgColor auto="1"/>
        </patternFill>
      </fill>
    </dxf>
    <dxf>
      <font>
        <color rgb="FFFF0000"/>
      </font>
    </dxf>
    <dxf>
      <font>
        <color rgb="FF0070C0"/>
      </font>
    </dxf>
    <dxf>
      <font>
        <color rgb="FF0070C0"/>
      </font>
      <fill>
        <patternFill patternType="none">
          <bgColor auto="1"/>
        </patternFill>
      </fill>
    </dxf>
    <dxf>
      <font>
        <color rgb="FFFF0000"/>
      </font>
    </dxf>
    <dxf>
      <fill>
        <patternFill>
          <bgColor theme="2"/>
        </patternFill>
      </fill>
    </dxf>
    <dxf>
      <fill>
        <patternFill>
          <bgColor theme="2"/>
        </patternFill>
      </fill>
    </dxf>
    <dxf>
      <fill>
        <patternFill>
          <bgColor theme="2"/>
        </patternFill>
      </fill>
    </dxf>
    <dxf>
      <font>
        <color theme="1"/>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patternType="solid">
          <bgColor theme="2"/>
        </patternFill>
      </fill>
    </dxf>
    <dxf>
      <font>
        <color theme="1"/>
      </font>
    </dxf>
    <dxf>
      <font>
        <color theme="1"/>
      </font>
    </dxf>
    <dxf>
      <fill>
        <patternFill>
          <bgColor theme="2"/>
        </patternFill>
      </fill>
    </dxf>
    <dxf>
      <font>
        <color theme="1"/>
      </font>
    </dxf>
    <dxf>
      <font>
        <color theme="1"/>
      </font>
    </dxf>
    <dxf>
      <font>
        <color theme="1"/>
      </font>
    </dxf>
    <dxf>
      <fill>
        <patternFill>
          <bgColor theme="2"/>
        </patternFill>
      </fill>
    </dxf>
    <dxf>
      <font>
        <color theme="1"/>
      </font>
    </dxf>
    <dxf>
      <font>
        <color theme="1"/>
      </font>
    </dxf>
    <dxf>
      <font>
        <color theme="1"/>
      </font>
    </dxf>
    <dxf>
      <font>
        <color theme="1"/>
      </font>
    </dxf>
    <dxf>
      <font>
        <color theme="1"/>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0070C0"/>
      </font>
    </dxf>
    <dxf>
      <font>
        <color rgb="FFFF0000"/>
      </font>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2" tint="-0.24994659260841701"/>
        </patternFill>
      </fill>
      <border>
        <left/>
        <right/>
        <top/>
        <bottom/>
        <vertical/>
        <horizontal/>
      </border>
    </dxf>
    <dxf>
      <fill>
        <patternFill>
          <bgColor theme="8" tint="0.79998168889431442"/>
        </patternFill>
      </fill>
      <border>
        <left/>
        <right/>
        <top/>
        <bottom/>
        <vertical/>
        <horizontal/>
      </border>
    </dxf>
    <dxf>
      <fill>
        <patternFill>
          <bgColor rgb="FFE1F4FF"/>
        </patternFill>
      </fill>
    </dxf>
    <dxf>
      <font>
        <b/>
        <i val="0"/>
        <color theme="1"/>
      </font>
      <fill>
        <patternFill patternType="solid">
          <bgColor rgb="FFB9E4FF"/>
        </patternFill>
      </fill>
    </dxf>
    <dxf>
      <border>
        <left style="thin">
          <color rgb="FF009EE0"/>
        </left>
        <right style="thin">
          <color rgb="FF009EE0"/>
        </right>
        <top style="thin">
          <color rgb="FF009EE0"/>
        </top>
        <bottom style="thin">
          <color rgb="FF009EE0"/>
        </bottom>
        <vertical style="thin">
          <color rgb="FF009EE0"/>
        </vertical>
        <horizontal style="thin">
          <color rgb="FF009EE0"/>
        </horizontal>
      </border>
    </dxf>
    <dxf>
      <font>
        <b/>
        <i val="0"/>
        <color theme="1"/>
      </font>
      <fill>
        <patternFill patternType="solid">
          <bgColor rgb="FFB9E4FF"/>
        </patternFill>
      </fill>
    </dxf>
    <dxf>
      <border>
        <left style="thin">
          <color rgb="FF009EE0"/>
        </left>
        <right style="thin">
          <color rgb="FF009EE0"/>
        </right>
        <top style="thin">
          <color rgb="FF009EE0"/>
        </top>
        <bottom style="thin">
          <color rgb="FF009EE0"/>
        </bottom>
        <vertical style="thin">
          <color rgb="FF009EE0"/>
        </vertical>
        <horizontal style="thin">
          <color rgb="FF009EE0"/>
        </horizontal>
      </border>
    </dxf>
  </dxfs>
  <tableStyles count="2" defaultTableStyle="TableStyleMedium2" defaultPivotStyle="PivotStyleLight16">
    <tableStyle name="Tabel (neutraal) CE Delft" pivot="0" count="2" xr9:uid="{73487C25-33F7-4A58-8A6C-35A6A8B4FA22}">
      <tableStyleElement type="wholeTable" dxfId="167"/>
      <tableStyleElement type="headerRow" dxfId="166"/>
    </tableStyle>
    <tableStyle name="Tabel CE Delft" pivot="0" count="3" xr9:uid="{DF2595DC-9E37-4438-BF05-C1DDFCDB2806}">
      <tableStyleElement type="wholeTable" dxfId="165"/>
      <tableStyleElement type="headerRow" dxfId="164"/>
      <tableStyleElement type="secondRowStripe" dxfId="163"/>
    </tableStyle>
  </tableStyles>
  <colors>
    <mruColors>
      <color rgb="FFFFFFFF"/>
      <color rgb="FFB5C0E5"/>
      <color rgb="FFCCCCFF"/>
      <color rgb="FFFF9999"/>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a:t>Totale klimaatimpact verwerking groenafval</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0.12209224418448837"/>
          <c:y val="9.7712519319938171E-2"/>
          <c:w val="0.53442729107680442"/>
          <c:h val="0.86828438948995368"/>
        </c:manualLayout>
      </c:layout>
      <c:barChart>
        <c:barDir val="col"/>
        <c:grouping val="stacked"/>
        <c:varyColors val="0"/>
        <c:ser>
          <c:idx val="0"/>
          <c:order val="0"/>
          <c:tx>
            <c:strRef>
              <c:f>Kengetallen!$B$115</c:f>
              <c:strCache>
                <c:ptCount val="1"/>
                <c:pt idx="0">
                  <c:v>Transport (aanvoer)</c:v>
                </c:pt>
              </c:strCache>
            </c:strRef>
          </c:tx>
          <c:spPr>
            <a:solidFill>
              <a:schemeClr val="accent1"/>
            </a:solidFill>
            <a:ln>
              <a:noFill/>
            </a:ln>
            <a:effectLst/>
          </c:spPr>
          <c:invertIfNegative val="0"/>
          <c:cat>
            <c:numRef>
              <c:f>Kengetallen!$D$126</c:f>
              <c:numCache>
                <c:formatCode>General</c:formatCode>
                <c:ptCount val="1"/>
              </c:numCache>
            </c:numRef>
          </c:cat>
          <c:val>
            <c:numRef>
              <c:f>Kengetallen!$D$115</c:f>
              <c:numCache>
                <c:formatCode>0</c:formatCode>
                <c:ptCount val="1"/>
                <c:pt idx="0">
                  <c:v>0</c:v>
                </c:pt>
              </c:numCache>
            </c:numRef>
          </c:val>
          <c:extLst>
            <c:ext xmlns:c16="http://schemas.microsoft.com/office/drawing/2014/chart" uri="{C3380CC4-5D6E-409C-BE32-E72D297353CC}">
              <c16:uniqueId val="{00000000-926F-4234-8EBF-89C16CAE79AB}"/>
            </c:ext>
          </c:extLst>
        </c:ser>
        <c:ser>
          <c:idx val="10"/>
          <c:order val="1"/>
          <c:tx>
            <c:strRef>
              <c:f>Kengetallen!$B$116</c:f>
              <c:strCache>
                <c:ptCount val="1"/>
                <c:pt idx="0">
                  <c:v>Transport (producten)</c:v>
                </c:pt>
              </c:strCache>
            </c:strRef>
          </c:tx>
          <c:spPr>
            <a:solidFill>
              <a:schemeClr val="accent5">
                <a:lumMod val="60000"/>
              </a:schemeClr>
            </a:solidFill>
            <a:ln w="25400">
              <a:noFill/>
            </a:ln>
            <a:effectLst/>
          </c:spPr>
          <c:invertIfNegative val="0"/>
          <c:cat>
            <c:numRef>
              <c:f>Kengetallen!$D$126</c:f>
              <c:numCache>
                <c:formatCode>General</c:formatCode>
                <c:ptCount val="1"/>
              </c:numCache>
            </c:numRef>
          </c:cat>
          <c:val>
            <c:numRef>
              <c:f>Kengetallen!$D$116</c:f>
              <c:numCache>
                <c:formatCode>0</c:formatCode>
                <c:ptCount val="1"/>
                <c:pt idx="0">
                  <c:v>0</c:v>
                </c:pt>
              </c:numCache>
            </c:numRef>
          </c:val>
          <c:extLst>
            <c:ext xmlns:c16="http://schemas.microsoft.com/office/drawing/2014/chart" uri="{C3380CC4-5D6E-409C-BE32-E72D297353CC}">
              <c16:uniqueId val="{00000001-D376-423F-A76C-F9549EA6E409}"/>
            </c:ext>
          </c:extLst>
        </c:ser>
        <c:ser>
          <c:idx val="1"/>
          <c:order val="2"/>
          <c:tx>
            <c:strRef>
              <c:f>Kengetallen!$B$117</c:f>
              <c:strCache>
                <c:ptCount val="1"/>
                <c:pt idx="0">
                  <c:v>Energiegebruik inrichting</c:v>
                </c:pt>
              </c:strCache>
            </c:strRef>
          </c:tx>
          <c:spPr>
            <a:solidFill>
              <a:schemeClr val="accent2"/>
            </a:solidFill>
            <a:ln>
              <a:noFill/>
            </a:ln>
            <a:effectLst/>
          </c:spPr>
          <c:invertIfNegative val="0"/>
          <c:cat>
            <c:numRef>
              <c:f>Kengetallen!$D$126</c:f>
              <c:numCache>
                <c:formatCode>General</c:formatCode>
                <c:ptCount val="1"/>
              </c:numCache>
            </c:numRef>
          </c:cat>
          <c:val>
            <c:numRef>
              <c:f>Kengetallen!$D$117</c:f>
              <c:numCache>
                <c:formatCode>0</c:formatCode>
                <c:ptCount val="1"/>
                <c:pt idx="0">
                  <c:v>0</c:v>
                </c:pt>
              </c:numCache>
            </c:numRef>
          </c:val>
          <c:extLst>
            <c:ext xmlns:c16="http://schemas.microsoft.com/office/drawing/2014/chart" uri="{C3380CC4-5D6E-409C-BE32-E72D297353CC}">
              <c16:uniqueId val="{00000001-926F-4234-8EBF-89C16CAE79AB}"/>
            </c:ext>
          </c:extLst>
        </c:ser>
        <c:ser>
          <c:idx val="2"/>
          <c:order val="3"/>
          <c:tx>
            <c:strRef>
              <c:f>Kengetallen!$B$118</c:f>
              <c:strCache>
                <c:ptCount val="1"/>
                <c:pt idx="0">
                  <c:v>Overig</c:v>
                </c:pt>
              </c:strCache>
            </c:strRef>
          </c:tx>
          <c:spPr>
            <a:solidFill>
              <a:schemeClr val="accent3"/>
            </a:solidFill>
            <a:ln>
              <a:noFill/>
            </a:ln>
            <a:effectLst/>
          </c:spPr>
          <c:invertIfNegative val="0"/>
          <c:cat>
            <c:numRef>
              <c:f>Kengetallen!$D$126</c:f>
              <c:numCache>
                <c:formatCode>General</c:formatCode>
                <c:ptCount val="1"/>
              </c:numCache>
            </c:numRef>
          </c:cat>
          <c:val>
            <c:numRef>
              <c:f>Kengetallen!$D$118</c:f>
              <c:numCache>
                <c:formatCode>0</c:formatCode>
                <c:ptCount val="1"/>
                <c:pt idx="0">
                  <c:v>0</c:v>
                </c:pt>
              </c:numCache>
            </c:numRef>
          </c:val>
          <c:extLst>
            <c:ext xmlns:c16="http://schemas.microsoft.com/office/drawing/2014/chart" uri="{C3380CC4-5D6E-409C-BE32-E72D297353CC}">
              <c16:uniqueId val="{00000002-926F-4234-8EBF-89C16CAE79AB}"/>
            </c:ext>
          </c:extLst>
        </c:ser>
        <c:ser>
          <c:idx val="3"/>
          <c:order val="4"/>
          <c:tx>
            <c:strRef>
              <c:f>Kengetallen!$B$119</c:f>
              <c:strCache>
                <c:ptCount val="1"/>
                <c:pt idx="0">
                  <c:v>Kleine kringloop</c:v>
                </c:pt>
              </c:strCache>
            </c:strRef>
          </c:tx>
          <c:spPr>
            <a:solidFill>
              <a:schemeClr val="accent4"/>
            </a:solidFill>
            <a:ln>
              <a:noFill/>
            </a:ln>
            <a:effectLst/>
          </c:spPr>
          <c:invertIfNegative val="0"/>
          <c:cat>
            <c:numRef>
              <c:f>Kengetallen!$D$126</c:f>
              <c:numCache>
                <c:formatCode>General</c:formatCode>
                <c:ptCount val="1"/>
              </c:numCache>
            </c:numRef>
          </c:cat>
          <c:val>
            <c:numRef>
              <c:f>Kengetallen!$D$119</c:f>
              <c:numCache>
                <c:formatCode>0</c:formatCode>
                <c:ptCount val="1"/>
                <c:pt idx="0">
                  <c:v>0</c:v>
                </c:pt>
              </c:numCache>
            </c:numRef>
          </c:val>
          <c:extLst>
            <c:ext xmlns:c16="http://schemas.microsoft.com/office/drawing/2014/chart" uri="{C3380CC4-5D6E-409C-BE32-E72D297353CC}">
              <c16:uniqueId val="{00000003-926F-4234-8EBF-89C16CAE79AB}"/>
            </c:ext>
          </c:extLst>
        </c:ser>
        <c:ser>
          <c:idx val="4"/>
          <c:order val="5"/>
          <c:tx>
            <c:strRef>
              <c:f>Kengetallen!$B$120</c:f>
              <c:strCache>
                <c:ptCount val="1"/>
                <c:pt idx="0">
                  <c:v>Bokashi</c:v>
                </c:pt>
              </c:strCache>
            </c:strRef>
          </c:tx>
          <c:spPr>
            <a:solidFill>
              <a:schemeClr val="accent5"/>
            </a:solidFill>
            <a:ln>
              <a:noFill/>
            </a:ln>
            <a:effectLst/>
          </c:spPr>
          <c:invertIfNegative val="0"/>
          <c:cat>
            <c:numRef>
              <c:f>Kengetallen!$D$126</c:f>
              <c:numCache>
                <c:formatCode>General</c:formatCode>
                <c:ptCount val="1"/>
              </c:numCache>
            </c:numRef>
          </c:cat>
          <c:val>
            <c:numRef>
              <c:f>Kengetallen!$D$120</c:f>
              <c:numCache>
                <c:formatCode>0</c:formatCode>
                <c:ptCount val="1"/>
                <c:pt idx="0">
                  <c:v>0</c:v>
                </c:pt>
              </c:numCache>
            </c:numRef>
          </c:val>
          <c:extLst>
            <c:ext xmlns:c16="http://schemas.microsoft.com/office/drawing/2014/chart" uri="{C3380CC4-5D6E-409C-BE32-E72D297353CC}">
              <c16:uniqueId val="{00000004-926F-4234-8EBF-89C16CAE79AB}"/>
            </c:ext>
          </c:extLst>
        </c:ser>
        <c:ser>
          <c:idx val="5"/>
          <c:order val="6"/>
          <c:tx>
            <c:strRef>
              <c:f>Kengetallen!$B$121</c:f>
              <c:strCache>
                <c:ptCount val="1"/>
                <c:pt idx="0">
                  <c:v>Gft-vergisting</c:v>
                </c:pt>
              </c:strCache>
            </c:strRef>
          </c:tx>
          <c:spPr>
            <a:solidFill>
              <a:schemeClr val="accent6"/>
            </a:solidFill>
            <a:ln>
              <a:noFill/>
            </a:ln>
            <a:effectLst/>
          </c:spPr>
          <c:invertIfNegative val="0"/>
          <c:cat>
            <c:numRef>
              <c:f>Kengetallen!$D$126</c:f>
              <c:numCache>
                <c:formatCode>General</c:formatCode>
                <c:ptCount val="1"/>
              </c:numCache>
            </c:numRef>
          </c:cat>
          <c:val>
            <c:numRef>
              <c:f>Kengetallen!$D$121</c:f>
              <c:numCache>
                <c:formatCode>0</c:formatCode>
                <c:ptCount val="1"/>
                <c:pt idx="0">
                  <c:v>0</c:v>
                </c:pt>
              </c:numCache>
            </c:numRef>
          </c:val>
          <c:extLst>
            <c:ext xmlns:c16="http://schemas.microsoft.com/office/drawing/2014/chart" uri="{C3380CC4-5D6E-409C-BE32-E72D297353CC}">
              <c16:uniqueId val="{00000005-926F-4234-8EBF-89C16CAE79AB}"/>
            </c:ext>
          </c:extLst>
        </c:ser>
        <c:ser>
          <c:idx val="6"/>
          <c:order val="7"/>
          <c:tx>
            <c:strRef>
              <c:f>Kengetallen!$B$122</c:f>
              <c:strCache>
                <c:ptCount val="1"/>
                <c:pt idx="0">
                  <c:v>Co-vergisting</c:v>
                </c:pt>
              </c:strCache>
            </c:strRef>
          </c:tx>
          <c:spPr>
            <a:solidFill>
              <a:schemeClr val="accent1">
                <a:lumMod val="60000"/>
              </a:schemeClr>
            </a:solidFill>
            <a:ln>
              <a:noFill/>
            </a:ln>
            <a:effectLst/>
          </c:spPr>
          <c:invertIfNegative val="0"/>
          <c:cat>
            <c:numRef>
              <c:f>Kengetallen!$D$126</c:f>
              <c:numCache>
                <c:formatCode>General</c:formatCode>
                <c:ptCount val="1"/>
              </c:numCache>
            </c:numRef>
          </c:cat>
          <c:val>
            <c:numRef>
              <c:f>Kengetallen!$D$122</c:f>
              <c:numCache>
                <c:formatCode>0</c:formatCode>
                <c:ptCount val="1"/>
                <c:pt idx="0">
                  <c:v>0</c:v>
                </c:pt>
              </c:numCache>
            </c:numRef>
          </c:val>
          <c:extLst>
            <c:ext xmlns:c16="http://schemas.microsoft.com/office/drawing/2014/chart" uri="{C3380CC4-5D6E-409C-BE32-E72D297353CC}">
              <c16:uniqueId val="{00000006-926F-4234-8EBF-89C16CAE79AB}"/>
            </c:ext>
          </c:extLst>
        </c:ser>
        <c:ser>
          <c:idx val="7"/>
          <c:order val="8"/>
          <c:tx>
            <c:strRef>
              <c:f>Kengetallen!$B$123</c:f>
              <c:strCache>
                <c:ptCount val="1"/>
                <c:pt idx="0">
                  <c:v>Bio-energiecentrale</c:v>
                </c:pt>
              </c:strCache>
            </c:strRef>
          </c:tx>
          <c:spPr>
            <a:solidFill>
              <a:schemeClr val="accent6">
                <a:lumMod val="40000"/>
                <a:lumOff val="60000"/>
              </a:schemeClr>
            </a:solidFill>
            <a:ln>
              <a:noFill/>
            </a:ln>
            <a:effectLst/>
          </c:spPr>
          <c:invertIfNegative val="0"/>
          <c:cat>
            <c:numRef>
              <c:f>Kengetallen!$D$126</c:f>
              <c:numCache>
                <c:formatCode>General</c:formatCode>
                <c:ptCount val="1"/>
              </c:numCache>
            </c:numRef>
          </c:cat>
          <c:val>
            <c:numRef>
              <c:f>Kengetallen!$D$123</c:f>
              <c:numCache>
                <c:formatCode>0</c:formatCode>
                <c:ptCount val="1"/>
                <c:pt idx="0">
                  <c:v>0</c:v>
                </c:pt>
              </c:numCache>
            </c:numRef>
          </c:val>
          <c:extLst>
            <c:ext xmlns:c16="http://schemas.microsoft.com/office/drawing/2014/chart" uri="{C3380CC4-5D6E-409C-BE32-E72D297353CC}">
              <c16:uniqueId val="{00000007-926F-4234-8EBF-89C16CAE79AB}"/>
            </c:ext>
          </c:extLst>
        </c:ser>
        <c:ser>
          <c:idx val="8"/>
          <c:order val="9"/>
          <c:tx>
            <c:strRef>
              <c:f>Kengetallen!$B$124</c:f>
              <c:strCache>
                <c:ptCount val="1"/>
                <c:pt idx="0">
                  <c:v>Compostering</c:v>
                </c:pt>
              </c:strCache>
            </c:strRef>
          </c:tx>
          <c:spPr>
            <a:solidFill>
              <a:schemeClr val="accent3">
                <a:lumMod val="60000"/>
              </a:schemeClr>
            </a:solidFill>
            <a:ln>
              <a:noFill/>
            </a:ln>
            <a:effectLst/>
          </c:spPr>
          <c:invertIfNegative val="0"/>
          <c:cat>
            <c:numRef>
              <c:f>Kengetallen!$D$126</c:f>
              <c:numCache>
                <c:formatCode>General</c:formatCode>
                <c:ptCount val="1"/>
              </c:numCache>
            </c:numRef>
          </c:cat>
          <c:val>
            <c:numRef>
              <c:f>Kengetallen!$D$124</c:f>
              <c:numCache>
                <c:formatCode>0</c:formatCode>
                <c:ptCount val="1"/>
                <c:pt idx="0">
                  <c:v>0</c:v>
                </c:pt>
              </c:numCache>
            </c:numRef>
          </c:val>
          <c:extLst>
            <c:ext xmlns:c16="http://schemas.microsoft.com/office/drawing/2014/chart" uri="{C3380CC4-5D6E-409C-BE32-E72D297353CC}">
              <c16:uniqueId val="{00000008-926F-4234-8EBF-89C16CAE79AB}"/>
            </c:ext>
          </c:extLst>
        </c:ser>
        <c:dLbls>
          <c:showLegendKey val="0"/>
          <c:showVal val="0"/>
          <c:showCatName val="0"/>
          <c:showSerName val="0"/>
          <c:showPercent val="0"/>
          <c:showBubbleSize val="0"/>
        </c:dLbls>
        <c:gapWidth val="150"/>
        <c:overlap val="100"/>
        <c:axId val="614656584"/>
        <c:axId val="614655272"/>
      </c:barChart>
      <c:scatterChart>
        <c:scatterStyle val="lineMarker"/>
        <c:varyColors val="0"/>
        <c:ser>
          <c:idx val="9"/>
          <c:order val="10"/>
          <c:tx>
            <c:strRef>
              <c:f>Kengetallen!$B$125</c:f>
              <c:strCache>
                <c:ptCount val="1"/>
                <c:pt idx="0">
                  <c:v>Totaal</c:v>
                </c:pt>
              </c:strCache>
            </c:strRef>
          </c:tx>
          <c:spPr>
            <a:ln w="25400" cap="rnd">
              <a:noFill/>
              <a:round/>
            </a:ln>
            <a:effectLst/>
          </c:spPr>
          <c:marker>
            <c:symbol val="diamond"/>
            <c:size val="7"/>
            <c:spPr>
              <a:solidFill>
                <a:schemeClr val="tx1"/>
              </a:solidFill>
              <a:ln w="9525">
                <a:solidFill>
                  <a:schemeClr val="tx1"/>
                </a:solidFill>
              </a:ln>
              <a:effectLst/>
            </c:spPr>
          </c:marker>
          <c:yVal>
            <c:numRef>
              <c:f>Kengetallen!$D$125</c:f>
              <c:numCache>
                <c:formatCode>0</c:formatCode>
                <c:ptCount val="1"/>
                <c:pt idx="0">
                  <c:v>0</c:v>
                </c:pt>
              </c:numCache>
            </c:numRef>
          </c:yVal>
          <c:smooth val="0"/>
          <c:extLst>
            <c:ext xmlns:c16="http://schemas.microsoft.com/office/drawing/2014/chart" uri="{C3380CC4-5D6E-409C-BE32-E72D297353CC}">
              <c16:uniqueId val="{00000009-926F-4234-8EBF-89C16CAE79AB}"/>
            </c:ext>
          </c:extLst>
        </c:ser>
        <c:dLbls>
          <c:showLegendKey val="0"/>
          <c:showVal val="0"/>
          <c:showCatName val="0"/>
          <c:showSerName val="0"/>
          <c:showPercent val="0"/>
          <c:showBubbleSize val="0"/>
        </c:dLbls>
        <c:axId val="614656584"/>
        <c:axId val="614655272"/>
      </c:scatterChart>
      <c:catAx>
        <c:axId val="614656584"/>
        <c:scaling>
          <c:orientation val="minMax"/>
        </c:scaling>
        <c:delete val="0"/>
        <c:axPos val="b"/>
        <c:numFmt formatCode="General" sourceLinked="1"/>
        <c:majorTickMark val="none"/>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614655272"/>
        <c:crosses val="autoZero"/>
        <c:auto val="1"/>
        <c:lblAlgn val="ctr"/>
        <c:lblOffset val="100"/>
        <c:noMultiLvlLbl val="0"/>
      </c:catAx>
      <c:valAx>
        <c:axId val="614655272"/>
        <c:scaling>
          <c:orientation val="minMax"/>
        </c:scaling>
        <c:delete val="0"/>
        <c:axPos val="l"/>
        <c:majorGridlines>
          <c:spPr>
            <a:ln w="9525" cap="flat" cmpd="sng" algn="ctr">
              <a:solidFill>
                <a:srgbClr val="D9D9D9"/>
              </a:solidFill>
              <a:prstDash val="solid"/>
              <a:round/>
              <a:headEnd type="none" w="med" len="med"/>
              <a:tailEnd type="none" w="med" len="me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sz="1000"/>
                  <a:t>Klimaatimpact (ton CO</a:t>
                </a:r>
                <a:r>
                  <a:rPr lang="nl-NL" sz="1000" baseline="-25000"/>
                  <a:t>2</a:t>
                </a:r>
                <a:r>
                  <a:rPr lang="nl-NL" sz="1000"/>
                  <a:t>-eq)</a:t>
                </a:r>
              </a:p>
            </c:rich>
          </c:tx>
          <c:layout>
            <c:manualLayout>
              <c:xMode val="edge"/>
              <c:yMode val="edge"/>
              <c:x val="1.0788883742473367E-2"/>
              <c:y val="0.1854931764619909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Trebuchet MS"/>
                <a:ea typeface="Trebuchet MS"/>
                <a:cs typeface="Trebuchet MS"/>
              </a:defRPr>
            </a:pPr>
            <a:endParaRPr lang="nl-NL"/>
          </a:p>
        </c:txPr>
        <c:crossAx val="614656584"/>
        <c:crosses val="autoZero"/>
        <c:crossBetween val="between"/>
      </c:valAx>
      <c:spPr>
        <a:solidFill>
          <a:srgbClr val="FFFFFF"/>
        </a:solidFill>
        <a:ln>
          <a:solidFill>
            <a:srgbClr val="D9D9D9"/>
          </a:solidFill>
        </a:ln>
        <a:effectLst/>
      </c:spPr>
    </c:plotArea>
    <c:legend>
      <c:legendPos val="r"/>
      <c:layout>
        <c:manualLayout>
          <c:xMode val="edge"/>
          <c:yMode val="edge"/>
          <c:x val="0.67088869173043508"/>
          <c:y val="0.10332610862666557"/>
          <c:w val="0.31386251894569517"/>
          <c:h val="0.86157644928530275"/>
        </c:manualLayout>
      </c:layout>
      <c:overlay val="0"/>
      <c:spPr>
        <a:solidFill>
          <a:srgbClr val="FFFFFF"/>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rebuchet MS"/>
              <a:ea typeface="Trebuchet MS"/>
              <a:cs typeface="Trebuchet MS"/>
            </a:defRPr>
          </a:pPr>
          <a:endParaRPr lang="nl-NL"/>
        </a:p>
      </c:txPr>
    </c:legend>
    <c:plotVisOnly val="1"/>
    <c:dispBlanksAs val="gap"/>
    <c:showDLblsOverMax val="0"/>
  </c:chart>
  <c:spPr>
    <a:solidFill>
      <a:srgbClr val="FFFFFF"/>
    </a:solidFill>
    <a:ln w="6350" cap="flat" cmpd="sng" algn="ctr">
      <a:solidFill>
        <a:srgbClr val="009DD8"/>
      </a:solid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a:t>Klimaatimpact verwerking groenafval (per ton groenafval) </a:t>
            </a:r>
          </a:p>
        </c:rich>
      </c:tx>
      <c:layout>
        <c:manualLayout>
          <c:xMode val="edge"/>
          <c:yMode val="edge"/>
          <c:x val="0.18501658175081057"/>
          <c:y val="1.6415856704648242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0.56525751903962829"/>
          <c:y val="0.10192886302413362"/>
          <c:w val="0.39173919747713148"/>
          <c:h val="0.55280911705462266"/>
        </c:manualLayout>
      </c:layout>
      <c:barChart>
        <c:barDir val="bar"/>
        <c:grouping val="clustered"/>
        <c:varyColors val="0"/>
        <c:ser>
          <c:idx val="0"/>
          <c:order val="0"/>
          <c:tx>
            <c:strRef>
              <c:f>Kengetallen!$B$98</c:f>
              <c:strCache>
                <c:ptCount val="1"/>
                <c:pt idx="0">
                  <c:v>Transport (aanvoer)</c:v>
                </c:pt>
              </c:strCache>
            </c:strRef>
          </c:tx>
          <c:spPr>
            <a:solidFill>
              <a:srgbClr val="009DD8"/>
            </a:solidFill>
            <a:ln>
              <a:noFill/>
            </a:ln>
            <a:effectLst/>
          </c:spPr>
          <c:invertIfNegative val="0"/>
          <c:cat>
            <c:numRef>
              <c:f>Kengetallen!$E$126</c:f>
              <c:numCache>
                <c:formatCode>General</c:formatCode>
                <c:ptCount val="1"/>
              </c:numCache>
            </c:numRef>
          </c:cat>
          <c:val>
            <c:numRef>
              <c:f>Kengetallen!$E$98</c:f>
              <c:numCache>
                <c:formatCode>#,#00</c:formatCode>
                <c:ptCount val="1"/>
                <c:pt idx="0">
                  <c:v>0</c:v>
                </c:pt>
              </c:numCache>
            </c:numRef>
          </c:val>
          <c:extLst>
            <c:ext xmlns:c16="http://schemas.microsoft.com/office/drawing/2014/chart" uri="{C3380CC4-5D6E-409C-BE32-E72D297353CC}">
              <c16:uniqueId val="{00000000-1CC2-4D88-B297-D65047B6819A}"/>
            </c:ext>
          </c:extLst>
        </c:ser>
        <c:ser>
          <c:idx val="14"/>
          <c:order val="1"/>
          <c:tx>
            <c:strRef>
              <c:f>Kengetallen!$B$99</c:f>
              <c:strCache>
                <c:ptCount val="1"/>
                <c:pt idx="0">
                  <c:v>Transport (producten)</c:v>
                </c:pt>
              </c:strCache>
            </c:strRef>
          </c:tx>
          <c:spPr>
            <a:solidFill>
              <a:schemeClr val="accent6">
                <a:lumMod val="40000"/>
                <a:lumOff val="60000"/>
              </a:schemeClr>
            </a:solidFill>
            <a:ln>
              <a:noFill/>
            </a:ln>
            <a:effectLst/>
          </c:spPr>
          <c:invertIfNegative val="0"/>
          <c:cat>
            <c:numRef>
              <c:f>Kengetallen!$E$126</c:f>
              <c:numCache>
                <c:formatCode>General</c:formatCode>
                <c:ptCount val="1"/>
              </c:numCache>
            </c:numRef>
          </c:cat>
          <c:val>
            <c:numRef>
              <c:f>Kengetallen!$E$99</c:f>
              <c:numCache>
                <c:formatCode>#,#00</c:formatCode>
                <c:ptCount val="1"/>
                <c:pt idx="0">
                  <c:v>0</c:v>
                </c:pt>
              </c:numCache>
            </c:numRef>
          </c:val>
          <c:extLst>
            <c:ext xmlns:c16="http://schemas.microsoft.com/office/drawing/2014/chart" uri="{C3380CC4-5D6E-409C-BE32-E72D297353CC}">
              <c16:uniqueId val="{00000002-EB13-4B4C-A7DC-7181F4DF83E3}"/>
            </c:ext>
          </c:extLst>
        </c:ser>
        <c:ser>
          <c:idx val="1"/>
          <c:order val="2"/>
          <c:tx>
            <c:strRef>
              <c:f>Kengetallen!$B$100</c:f>
              <c:strCache>
                <c:ptCount val="1"/>
                <c:pt idx="0">
                  <c:v>Energiegebruik inrichting</c:v>
                </c:pt>
              </c:strCache>
            </c:strRef>
          </c:tx>
          <c:spPr>
            <a:solidFill>
              <a:srgbClr val="8DD3FF"/>
            </a:solidFill>
            <a:ln>
              <a:noFill/>
            </a:ln>
            <a:effectLst/>
          </c:spPr>
          <c:invertIfNegative val="0"/>
          <c:cat>
            <c:numRef>
              <c:f>Kengetallen!$E$126</c:f>
              <c:numCache>
                <c:formatCode>General</c:formatCode>
                <c:ptCount val="1"/>
              </c:numCache>
            </c:numRef>
          </c:cat>
          <c:val>
            <c:numRef>
              <c:f>Kengetallen!$E$100</c:f>
              <c:numCache>
                <c:formatCode>#,#00</c:formatCode>
                <c:ptCount val="1"/>
                <c:pt idx="0">
                  <c:v>0</c:v>
                </c:pt>
              </c:numCache>
            </c:numRef>
          </c:val>
          <c:extLst>
            <c:ext xmlns:c16="http://schemas.microsoft.com/office/drawing/2014/chart" uri="{C3380CC4-5D6E-409C-BE32-E72D297353CC}">
              <c16:uniqueId val="{00000001-1CC2-4D88-B297-D65047B6819A}"/>
            </c:ext>
          </c:extLst>
        </c:ser>
        <c:ser>
          <c:idx val="2"/>
          <c:order val="3"/>
          <c:tx>
            <c:strRef>
              <c:f>Kengetallen!$B$101</c:f>
              <c:strCache>
                <c:ptCount val="1"/>
                <c:pt idx="0">
                  <c:v>Hout naar bio-energiecentrale</c:v>
                </c:pt>
              </c:strCache>
            </c:strRef>
          </c:tx>
          <c:spPr>
            <a:solidFill>
              <a:srgbClr val="FFDB00"/>
            </a:solidFill>
            <a:ln>
              <a:noFill/>
            </a:ln>
            <a:effectLst/>
          </c:spPr>
          <c:invertIfNegative val="0"/>
          <c:cat>
            <c:numRef>
              <c:f>Kengetallen!$E$126</c:f>
              <c:numCache>
                <c:formatCode>General</c:formatCode>
                <c:ptCount val="1"/>
              </c:numCache>
            </c:numRef>
          </c:cat>
          <c:val>
            <c:numRef>
              <c:f>Kengetallen!$E$101</c:f>
              <c:numCache>
                <c:formatCode>0.0</c:formatCode>
                <c:ptCount val="1"/>
                <c:pt idx="0">
                  <c:v>0</c:v>
                </c:pt>
              </c:numCache>
            </c:numRef>
          </c:val>
          <c:extLst>
            <c:ext xmlns:c16="http://schemas.microsoft.com/office/drawing/2014/chart" uri="{C3380CC4-5D6E-409C-BE32-E72D297353CC}">
              <c16:uniqueId val="{00000002-1CC2-4D88-B297-D65047B6819A}"/>
            </c:ext>
          </c:extLst>
        </c:ser>
        <c:ser>
          <c:idx val="3"/>
          <c:order val="4"/>
          <c:tx>
            <c:strRef>
              <c:f>Kengetallen!$B$102</c:f>
              <c:strCache>
                <c:ptCount val="1"/>
                <c:pt idx="0">
                  <c:v>Maaisels naar co-vergister</c:v>
                </c:pt>
              </c:strCache>
            </c:strRef>
          </c:tx>
          <c:spPr>
            <a:solidFill>
              <a:srgbClr val="009133"/>
            </a:solidFill>
            <a:ln>
              <a:noFill/>
            </a:ln>
            <a:effectLst/>
          </c:spPr>
          <c:invertIfNegative val="0"/>
          <c:cat>
            <c:numRef>
              <c:f>Kengetallen!$E$126</c:f>
              <c:numCache>
                <c:formatCode>General</c:formatCode>
                <c:ptCount val="1"/>
              </c:numCache>
            </c:numRef>
          </c:cat>
          <c:val>
            <c:numRef>
              <c:f>Kengetallen!$E$102</c:f>
              <c:numCache>
                <c:formatCode>0.0</c:formatCode>
                <c:ptCount val="1"/>
                <c:pt idx="0">
                  <c:v>0</c:v>
                </c:pt>
              </c:numCache>
            </c:numRef>
          </c:val>
          <c:extLst>
            <c:ext xmlns:c16="http://schemas.microsoft.com/office/drawing/2014/chart" uri="{C3380CC4-5D6E-409C-BE32-E72D297353CC}">
              <c16:uniqueId val="{00000003-1CC2-4D88-B297-D65047B6819A}"/>
            </c:ext>
          </c:extLst>
        </c:ser>
        <c:ser>
          <c:idx val="4"/>
          <c:order val="5"/>
          <c:tx>
            <c:strRef>
              <c:f>Kengetallen!$B$103</c:f>
              <c:strCache>
                <c:ptCount val="1"/>
                <c:pt idx="0">
                  <c:v>Maaisels naar gft-vergister</c:v>
                </c:pt>
              </c:strCache>
            </c:strRef>
          </c:tx>
          <c:spPr>
            <a:solidFill>
              <a:srgbClr val="70C82F"/>
            </a:solidFill>
            <a:ln>
              <a:noFill/>
            </a:ln>
            <a:effectLst/>
          </c:spPr>
          <c:invertIfNegative val="0"/>
          <c:cat>
            <c:numRef>
              <c:f>Kengetallen!$E$126</c:f>
              <c:numCache>
                <c:formatCode>General</c:formatCode>
                <c:ptCount val="1"/>
              </c:numCache>
            </c:numRef>
          </c:cat>
          <c:val>
            <c:numRef>
              <c:f>Kengetallen!$E$103</c:f>
              <c:numCache>
                <c:formatCode>0.0</c:formatCode>
                <c:ptCount val="1"/>
                <c:pt idx="0">
                  <c:v>0</c:v>
                </c:pt>
              </c:numCache>
            </c:numRef>
          </c:val>
          <c:extLst>
            <c:ext xmlns:c16="http://schemas.microsoft.com/office/drawing/2014/chart" uri="{C3380CC4-5D6E-409C-BE32-E72D297353CC}">
              <c16:uniqueId val="{00000004-1CC2-4D88-B297-D65047B6819A}"/>
            </c:ext>
          </c:extLst>
        </c:ser>
        <c:ser>
          <c:idx val="5"/>
          <c:order val="6"/>
          <c:tx>
            <c:strRef>
              <c:f>Kengetallen!$B$104</c:f>
              <c:strCache>
                <c:ptCount val="1"/>
                <c:pt idx="0">
                  <c:v>Afgescheiden zeefgrond</c:v>
                </c:pt>
              </c:strCache>
            </c:strRef>
          </c:tx>
          <c:spPr>
            <a:solidFill>
              <a:srgbClr val="344893"/>
            </a:solidFill>
            <a:ln>
              <a:noFill/>
            </a:ln>
            <a:effectLst/>
          </c:spPr>
          <c:invertIfNegative val="0"/>
          <c:cat>
            <c:numRef>
              <c:f>Kengetallen!$E$126</c:f>
              <c:numCache>
                <c:formatCode>General</c:formatCode>
                <c:ptCount val="1"/>
              </c:numCache>
            </c:numRef>
          </c:cat>
          <c:val>
            <c:numRef>
              <c:f>Kengetallen!$E$104</c:f>
              <c:numCache>
                <c:formatCode>#,#00</c:formatCode>
                <c:ptCount val="1"/>
                <c:pt idx="0">
                  <c:v>0</c:v>
                </c:pt>
              </c:numCache>
            </c:numRef>
          </c:val>
          <c:extLst>
            <c:ext xmlns:c16="http://schemas.microsoft.com/office/drawing/2014/chart" uri="{C3380CC4-5D6E-409C-BE32-E72D297353CC}">
              <c16:uniqueId val="{00000005-1CC2-4D88-B297-D65047B6819A}"/>
            </c:ext>
          </c:extLst>
        </c:ser>
        <c:ser>
          <c:idx val="6"/>
          <c:order val="7"/>
          <c:tx>
            <c:strRef>
              <c:f>Kengetallen!$B$105</c:f>
              <c:strCache>
                <c:ptCount val="1"/>
                <c:pt idx="0">
                  <c:v>Bokashi</c:v>
                </c:pt>
              </c:strCache>
            </c:strRef>
          </c:tx>
          <c:spPr>
            <a:solidFill>
              <a:srgbClr val="F79646"/>
            </a:solidFill>
            <a:ln>
              <a:noFill/>
            </a:ln>
            <a:effectLst/>
          </c:spPr>
          <c:invertIfNegative val="0"/>
          <c:cat>
            <c:numRef>
              <c:f>Kengetallen!$E$126</c:f>
              <c:numCache>
                <c:formatCode>General</c:formatCode>
                <c:ptCount val="1"/>
              </c:numCache>
            </c:numRef>
          </c:cat>
          <c:val>
            <c:numRef>
              <c:f>Kengetallen!$E$105</c:f>
              <c:numCache>
                <c:formatCode>#,#00</c:formatCode>
                <c:ptCount val="1"/>
                <c:pt idx="0">
                  <c:v>0</c:v>
                </c:pt>
              </c:numCache>
            </c:numRef>
          </c:val>
          <c:extLst>
            <c:ext xmlns:c16="http://schemas.microsoft.com/office/drawing/2014/chart" uri="{C3380CC4-5D6E-409C-BE32-E72D297353CC}">
              <c16:uniqueId val="{00000006-1CC2-4D88-B297-D65047B6819A}"/>
            </c:ext>
          </c:extLst>
        </c:ser>
        <c:ser>
          <c:idx val="7"/>
          <c:order val="8"/>
          <c:tx>
            <c:strRef>
              <c:f>Kengetallen!$B$106</c:f>
              <c:strCache>
                <c:ptCount val="1"/>
                <c:pt idx="0">
                  <c:v>Kleine kringloop</c:v>
                </c:pt>
              </c:strCache>
            </c:strRef>
          </c:tx>
          <c:spPr>
            <a:solidFill>
              <a:srgbClr val="FF0000"/>
            </a:solidFill>
            <a:ln>
              <a:noFill/>
            </a:ln>
            <a:effectLst/>
          </c:spPr>
          <c:invertIfNegative val="0"/>
          <c:cat>
            <c:numRef>
              <c:f>Kengetallen!$E$126</c:f>
              <c:numCache>
                <c:formatCode>General</c:formatCode>
                <c:ptCount val="1"/>
              </c:numCache>
            </c:numRef>
          </c:cat>
          <c:val>
            <c:numRef>
              <c:f>Kengetallen!$E$106</c:f>
              <c:numCache>
                <c:formatCode>#,#00</c:formatCode>
                <c:ptCount val="1"/>
                <c:pt idx="0">
                  <c:v>0</c:v>
                </c:pt>
              </c:numCache>
            </c:numRef>
          </c:val>
          <c:extLst>
            <c:ext xmlns:c16="http://schemas.microsoft.com/office/drawing/2014/chart" uri="{C3380CC4-5D6E-409C-BE32-E72D297353CC}">
              <c16:uniqueId val="{00000007-1CC2-4D88-B297-D65047B6819A}"/>
            </c:ext>
          </c:extLst>
        </c:ser>
        <c:ser>
          <c:idx val="8"/>
          <c:order val="9"/>
          <c:tx>
            <c:strRef>
              <c:f>Kengetallen!$B$107</c:f>
              <c:strCache>
                <c:ptCount val="1"/>
                <c:pt idx="0">
                  <c:v>Compostering </c:v>
                </c:pt>
              </c:strCache>
            </c:strRef>
          </c:tx>
          <c:spPr>
            <a:solidFill>
              <a:srgbClr val="009C9E"/>
            </a:solidFill>
            <a:ln>
              <a:noFill/>
            </a:ln>
            <a:effectLst/>
          </c:spPr>
          <c:invertIfNegative val="0"/>
          <c:cat>
            <c:numRef>
              <c:f>Kengetallen!$E$126</c:f>
              <c:numCache>
                <c:formatCode>General</c:formatCode>
                <c:ptCount val="1"/>
              </c:numCache>
            </c:numRef>
          </c:cat>
          <c:val>
            <c:numRef>
              <c:f>Kengetallen!$E$107</c:f>
              <c:numCache>
                <c:formatCode>#,#00</c:formatCode>
                <c:ptCount val="1"/>
                <c:pt idx="0">
                  <c:v>0</c:v>
                </c:pt>
              </c:numCache>
            </c:numRef>
          </c:val>
          <c:extLst>
            <c:ext xmlns:c16="http://schemas.microsoft.com/office/drawing/2014/chart" uri="{C3380CC4-5D6E-409C-BE32-E72D297353CC}">
              <c16:uniqueId val="{00000008-1CC2-4D88-B297-D65047B6819A}"/>
            </c:ext>
          </c:extLst>
        </c:ser>
        <c:ser>
          <c:idx val="9"/>
          <c:order val="10"/>
          <c:tx>
            <c:strRef>
              <c:f>Kengetallen!$B$108</c:f>
              <c:strCache>
                <c:ptCount val="1"/>
                <c:pt idx="0">
                  <c:v>Toepassing compost</c:v>
                </c:pt>
              </c:strCache>
            </c:strRef>
          </c:tx>
          <c:spPr>
            <a:solidFill>
              <a:srgbClr val="41C4B3"/>
            </a:solidFill>
            <a:ln>
              <a:noFill/>
            </a:ln>
            <a:effectLst/>
          </c:spPr>
          <c:invertIfNegative val="0"/>
          <c:cat>
            <c:numRef>
              <c:f>Kengetallen!$E$126</c:f>
              <c:numCache>
                <c:formatCode>General</c:formatCode>
                <c:ptCount val="1"/>
              </c:numCache>
            </c:numRef>
          </c:cat>
          <c:val>
            <c:numRef>
              <c:f>Kengetallen!$E$108</c:f>
              <c:numCache>
                <c:formatCode>0.0</c:formatCode>
                <c:ptCount val="1"/>
                <c:pt idx="0">
                  <c:v>0</c:v>
                </c:pt>
              </c:numCache>
            </c:numRef>
          </c:val>
          <c:extLst>
            <c:ext xmlns:c16="http://schemas.microsoft.com/office/drawing/2014/chart" uri="{C3380CC4-5D6E-409C-BE32-E72D297353CC}">
              <c16:uniqueId val="{00000009-1CC2-4D88-B297-D65047B6819A}"/>
            </c:ext>
          </c:extLst>
        </c:ser>
        <c:ser>
          <c:idx val="10"/>
          <c:order val="11"/>
          <c:tx>
            <c:strRef>
              <c:f>Kengetallen!$B$109</c:f>
              <c:strCache>
                <c:ptCount val="1"/>
                <c:pt idx="0">
                  <c:v>Surplus water naar RWZI</c:v>
                </c:pt>
              </c:strCache>
            </c:strRef>
          </c:tx>
          <c:spPr>
            <a:solidFill>
              <a:srgbClr val="F27221"/>
            </a:solidFill>
            <a:ln>
              <a:noFill/>
            </a:ln>
            <a:effectLst/>
          </c:spPr>
          <c:invertIfNegative val="0"/>
          <c:cat>
            <c:numRef>
              <c:f>Kengetallen!$E$126</c:f>
              <c:numCache>
                <c:formatCode>General</c:formatCode>
                <c:ptCount val="1"/>
              </c:numCache>
            </c:numRef>
          </c:cat>
          <c:val>
            <c:numRef>
              <c:f>Kengetallen!$E$109</c:f>
              <c:numCache>
                <c:formatCode>0.0</c:formatCode>
                <c:ptCount val="1"/>
                <c:pt idx="0">
                  <c:v>0</c:v>
                </c:pt>
              </c:numCache>
            </c:numRef>
          </c:val>
          <c:extLst>
            <c:ext xmlns:c16="http://schemas.microsoft.com/office/drawing/2014/chart" uri="{C3380CC4-5D6E-409C-BE32-E72D297353CC}">
              <c16:uniqueId val="{0000000A-1CC2-4D88-B297-D65047B6819A}"/>
            </c:ext>
          </c:extLst>
        </c:ser>
        <c:ser>
          <c:idx val="11"/>
          <c:order val="12"/>
          <c:tx>
            <c:strRef>
              <c:f>Kengetallen!$B$110</c:f>
              <c:strCache>
                <c:ptCount val="1"/>
                <c:pt idx="0">
                  <c:v>Residu naar AEC/stort/hergebruik</c:v>
                </c:pt>
              </c:strCache>
            </c:strRef>
          </c:tx>
          <c:spPr>
            <a:solidFill>
              <a:schemeClr val="accent6">
                <a:lumMod val="60000"/>
              </a:schemeClr>
            </a:solidFill>
            <a:ln>
              <a:noFill/>
            </a:ln>
            <a:effectLst/>
          </c:spPr>
          <c:invertIfNegative val="0"/>
          <c:cat>
            <c:numRef>
              <c:f>Kengetallen!$E$126</c:f>
              <c:numCache>
                <c:formatCode>General</c:formatCode>
                <c:ptCount val="1"/>
              </c:numCache>
            </c:numRef>
          </c:cat>
          <c:val>
            <c:numRef>
              <c:f>Kengetallen!$E$110</c:f>
              <c:numCache>
                <c:formatCode>0.0</c:formatCode>
                <c:ptCount val="1"/>
                <c:pt idx="0">
                  <c:v>0</c:v>
                </c:pt>
              </c:numCache>
            </c:numRef>
          </c:val>
          <c:extLst>
            <c:ext xmlns:c16="http://schemas.microsoft.com/office/drawing/2014/chart" uri="{C3380CC4-5D6E-409C-BE32-E72D297353CC}">
              <c16:uniqueId val="{0000000B-1CC2-4D88-B297-D65047B6819A}"/>
            </c:ext>
          </c:extLst>
        </c:ser>
        <c:ser>
          <c:idx val="12"/>
          <c:order val="13"/>
          <c:tx>
            <c:strRef>
              <c:f>Kengetallen!$B$111</c:f>
              <c:strCache>
                <c:ptCount val="1"/>
                <c:pt idx="0">
                  <c:v>Alternatieve opwerking</c:v>
                </c:pt>
              </c:strCache>
            </c:strRef>
          </c:tx>
          <c:spPr>
            <a:solidFill>
              <a:schemeClr val="accent1">
                <a:lumMod val="80000"/>
                <a:lumOff val="20000"/>
              </a:schemeClr>
            </a:solidFill>
            <a:ln>
              <a:noFill/>
            </a:ln>
            <a:effectLst/>
          </c:spPr>
          <c:invertIfNegative val="0"/>
          <c:cat>
            <c:numRef>
              <c:f>Kengetallen!$E$126</c:f>
              <c:numCache>
                <c:formatCode>General</c:formatCode>
                <c:ptCount val="1"/>
              </c:numCache>
            </c:numRef>
          </c:cat>
          <c:val>
            <c:numRef>
              <c:f>Kengetallen!$E$111</c:f>
              <c:numCache>
                <c:formatCode>0.0</c:formatCode>
                <c:ptCount val="1"/>
                <c:pt idx="0">
                  <c:v>0</c:v>
                </c:pt>
              </c:numCache>
            </c:numRef>
          </c:val>
          <c:extLst>
            <c:ext xmlns:c16="http://schemas.microsoft.com/office/drawing/2014/chart" uri="{C3380CC4-5D6E-409C-BE32-E72D297353CC}">
              <c16:uniqueId val="{0000000C-1CC2-4D88-B297-D65047B6819A}"/>
            </c:ext>
          </c:extLst>
        </c:ser>
        <c:ser>
          <c:idx val="13"/>
          <c:order val="14"/>
          <c:tx>
            <c:strRef>
              <c:f>Kengetallen!$B$112</c:f>
              <c:strCache>
                <c:ptCount val="1"/>
                <c:pt idx="0">
                  <c:v>Totaal</c:v>
                </c:pt>
              </c:strCache>
            </c:strRef>
          </c:tx>
          <c:spPr>
            <a:solidFill>
              <a:sysClr val="window" lastClr="FFFFFF"/>
            </a:solidFill>
            <a:ln>
              <a:solidFill>
                <a:sysClr val="windowText" lastClr="000000"/>
              </a:solidFill>
            </a:ln>
            <a:effectLst/>
          </c:spPr>
          <c:invertIfNegative val="0"/>
          <c:cat>
            <c:numRef>
              <c:f>Kengetallen!$E$126</c:f>
              <c:numCache>
                <c:formatCode>General</c:formatCode>
                <c:ptCount val="1"/>
              </c:numCache>
            </c:numRef>
          </c:cat>
          <c:val>
            <c:numRef>
              <c:f>Kengetallen!$E$112</c:f>
              <c:numCache>
                <c:formatCode>0.0</c:formatCode>
                <c:ptCount val="1"/>
                <c:pt idx="0">
                  <c:v>0</c:v>
                </c:pt>
              </c:numCache>
            </c:numRef>
          </c:val>
          <c:extLst>
            <c:ext xmlns:c16="http://schemas.microsoft.com/office/drawing/2014/chart" uri="{C3380CC4-5D6E-409C-BE32-E72D297353CC}">
              <c16:uniqueId val="{0000000D-1CC2-4D88-B297-D65047B6819A}"/>
            </c:ext>
          </c:extLst>
        </c:ser>
        <c:dLbls>
          <c:showLegendKey val="0"/>
          <c:showVal val="0"/>
          <c:showCatName val="0"/>
          <c:showSerName val="0"/>
          <c:showPercent val="0"/>
          <c:showBubbleSize val="0"/>
        </c:dLbls>
        <c:gapWidth val="182"/>
        <c:axId val="887754000"/>
        <c:axId val="887754328"/>
      </c:barChart>
      <c:catAx>
        <c:axId val="887754000"/>
        <c:scaling>
          <c:orientation val="minMax"/>
        </c:scaling>
        <c:delete val="0"/>
        <c:axPos val="l"/>
        <c:numFmt formatCode="General" sourceLinked="1"/>
        <c:majorTickMark val="none"/>
        <c:minorTickMark val="none"/>
        <c:tickLblPos val="nextTo"/>
        <c:spPr>
          <a:solidFill>
            <a:schemeClr val="tx1">
              <a:lumMod val="50000"/>
              <a:lumOff val="50000"/>
            </a:schemeClr>
          </a:solid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887754328"/>
        <c:crosses val="autoZero"/>
        <c:auto val="1"/>
        <c:lblAlgn val="ctr"/>
        <c:lblOffset val="100"/>
        <c:noMultiLvlLbl val="0"/>
      </c:catAx>
      <c:valAx>
        <c:axId val="887754328"/>
        <c:scaling>
          <c:orientation val="minMax"/>
        </c:scaling>
        <c:delete val="0"/>
        <c:axPos val="b"/>
        <c:majorGridlines>
          <c:spPr>
            <a:ln w="9525" cap="flat" cmpd="sng" algn="ctr">
              <a:solidFill>
                <a:srgbClr val="D9D9D9"/>
              </a:solidFill>
              <a:prstDash val="solid"/>
              <a:round/>
              <a:headEnd type="none" w="med" len="med"/>
              <a:tailEnd type="none" w="med" len="me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(kg CO2-eq)</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887754000"/>
        <c:crosses val="autoZero"/>
        <c:crossBetween val="between"/>
      </c:valAx>
      <c:spPr>
        <a:solidFill>
          <a:srgbClr val="FFFFFF"/>
        </a:solidFill>
        <a:ln>
          <a:solidFill>
            <a:srgbClr val="D9D9D9"/>
          </a:solidFill>
        </a:ln>
        <a:effectLst/>
      </c:spPr>
    </c:plotArea>
    <c:legend>
      <c:legendPos val="b"/>
      <c:layout>
        <c:manualLayout>
          <c:xMode val="edge"/>
          <c:yMode val="edge"/>
          <c:x val="3.9890198910321396E-2"/>
          <c:y val="0.75825149097081712"/>
          <c:w val="0.91392390765969067"/>
          <c:h val="0.22355149990273945"/>
        </c:manualLayout>
      </c:layout>
      <c:overlay val="0"/>
      <c:spPr>
        <a:solidFill>
          <a:srgbClr val="FFFFFF"/>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legend>
    <c:plotVisOnly val="1"/>
    <c:dispBlanksAs val="gap"/>
    <c:showDLblsOverMax val="0"/>
  </c:chart>
  <c:spPr>
    <a:solidFill>
      <a:srgbClr val="FFFFFF"/>
    </a:solidFill>
    <a:ln w="6350" cap="flat" cmpd="sng" algn="ctr">
      <a:solidFill>
        <a:srgbClr val="009DD8"/>
      </a:solid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a:t>Methode A</a:t>
            </a:r>
          </a:p>
        </c:rich>
      </c:tx>
      <c:layout>
        <c:manualLayout>
          <c:xMode val="edge"/>
          <c:yMode val="edge"/>
          <c:x val="0.3927691206431364"/>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0.11549373292624136"/>
          <c:y val="6.530314960629921E-2"/>
          <c:w val="0.81428932990519032"/>
          <c:h val="0.80504757217847767"/>
        </c:manualLayout>
      </c:layout>
      <c:barChart>
        <c:barDir val="bar"/>
        <c:grouping val="clustered"/>
        <c:varyColors val="0"/>
        <c:ser>
          <c:idx val="0"/>
          <c:order val="0"/>
          <c:spPr>
            <a:solidFill>
              <a:srgbClr val="009DD8"/>
            </a:solidFill>
            <a:ln>
              <a:noFill/>
            </a:ln>
            <a:effectLst/>
          </c:spPr>
          <c:invertIfNegative val="0"/>
          <c:cat>
            <c:numRef>
              <c:f>Kengetallen!$F$126</c:f>
              <c:numCache>
                <c:formatCode>General</c:formatCode>
                <c:ptCount val="1"/>
              </c:numCache>
            </c:numRef>
          </c:cat>
          <c:val>
            <c:numRef>
              <c:f>Kengetallen!$F$98</c:f>
              <c:numCache>
                <c:formatCode>0.0</c:formatCode>
                <c:ptCount val="1"/>
                <c:pt idx="0">
                  <c:v>0</c:v>
                </c:pt>
              </c:numCache>
            </c:numRef>
          </c:val>
          <c:extLst>
            <c:ext xmlns:c16="http://schemas.microsoft.com/office/drawing/2014/chart" uri="{C3380CC4-5D6E-409C-BE32-E72D297353CC}">
              <c16:uniqueId val="{00000000-4BDD-491B-AF71-C3E16CDEFCF5}"/>
            </c:ext>
          </c:extLst>
        </c:ser>
        <c:ser>
          <c:idx val="14"/>
          <c:order val="1"/>
          <c:spPr>
            <a:solidFill>
              <a:schemeClr val="accent6">
                <a:lumMod val="40000"/>
                <a:lumOff val="60000"/>
              </a:schemeClr>
            </a:solidFill>
            <a:ln>
              <a:noFill/>
            </a:ln>
            <a:effectLst/>
          </c:spPr>
          <c:invertIfNegative val="0"/>
          <c:cat>
            <c:numRef>
              <c:f>Kengetallen!$F$126</c:f>
              <c:numCache>
                <c:formatCode>General</c:formatCode>
                <c:ptCount val="1"/>
              </c:numCache>
            </c:numRef>
          </c:cat>
          <c:val>
            <c:numRef>
              <c:f>Kengetallen!$F$99</c:f>
              <c:numCache>
                <c:formatCode>0.0</c:formatCode>
                <c:ptCount val="1"/>
                <c:pt idx="0">
                  <c:v>0</c:v>
                </c:pt>
              </c:numCache>
            </c:numRef>
          </c:val>
          <c:extLst>
            <c:ext xmlns:c16="http://schemas.microsoft.com/office/drawing/2014/chart" uri="{C3380CC4-5D6E-409C-BE32-E72D297353CC}">
              <c16:uniqueId val="{00000001-EA96-465F-8CF0-65461B10AFDC}"/>
            </c:ext>
          </c:extLst>
        </c:ser>
        <c:ser>
          <c:idx val="1"/>
          <c:order val="2"/>
          <c:spPr>
            <a:solidFill>
              <a:srgbClr val="8DD3FF"/>
            </a:solidFill>
            <a:ln>
              <a:noFill/>
            </a:ln>
            <a:effectLst/>
          </c:spPr>
          <c:invertIfNegative val="0"/>
          <c:cat>
            <c:numRef>
              <c:f>Kengetallen!$F$126</c:f>
              <c:numCache>
                <c:formatCode>General</c:formatCode>
                <c:ptCount val="1"/>
              </c:numCache>
            </c:numRef>
          </c:cat>
          <c:val>
            <c:numRef>
              <c:f>Kengetallen!$F$100</c:f>
              <c:numCache>
                <c:formatCode>0.0</c:formatCode>
                <c:ptCount val="1"/>
                <c:pt idx="0">
                  <c:v>0</c:v>
                </c:pt>
              </c:numCache>
            </c:numRef>
          </c:val>
          <c:extLst>
            <c:ext xmlns:c16="http://schemas.microsoft.com/office/drawing/2014/chart" uri="{C3380CC4-5D6E-409C-BE32-E72D297353CC}">
              <c16:uniqueId val="{00000001-4BDD-491B-AF71-C3E16CDEFCF5}"/>
            </c:ext>
          </c:extLst>
        </c:ser>
        <c:ser>
          <c:idx val="2"/>
          <c:order val="3"/>
          <c:spPr>
            <a:solidFill>
              <a:srgbClr val="FFDB00"/>
            </a:solidFill>
            <a:ln>
              <a:noFill/>
            </a:ln>
            <a:effectLst/>
          </c:spPr>
          <c:invertIfNegative val="0"/>
          <c:cat>
            <c:numRef>
              <c:f>Kengetallen!$F$126</c:f>
              <c:numCache>
                <c:formatCode>General</c:formatCode>
                <c:ptCount val="1"/>
              </c:numCache>
            </c:numRef>
          </c:cat>
          <c:val>
            <c:numRef>
              <c:f>Kengetallen!$F$101</c:f>
              <c:numCache>
                <c:formatCode>0.0</c:formatCode>
                <c:ptCount val="1"/>
                <c:pt idx="0">
                  <c:v>0</c:v>
                </c:pt>
              </c:numCache>
            </c:numRef>
          </c:val>
          <c:extLst>
            <c:ext xmlns:c16="http://schemas.microsoft.com/office/drawing/2014/chart" uri="{C3380CC4-5D6E-409C-BE32-E72D297353CC}">
              <c16:uniqueId val="{00000002-4BDD-491B-AF71-C3E16CDEFCF5}"/>
            </c:ext>
          </c:extLst>
        </c:ser>
        <c:ser>
          <c:idx val="3"/>
          <c:order val="4"/>
          <c:spPr>
            <a:solidFill>
              <a:srgbClr val="009133"/>
            </a:solidFill>
            <a:ln>
              <a:noFill/>
            </a:ln>
            <a:effectLst/>
          </c:spPr>
          <c:invertIfNegative val="0"/>
          <c:cat>
            <c:numRef>
              <c:f>Kengetallen!$F$126</c:f>
              <c:numCache>
                <c:formatCode>General</c:formatCode>
                <c:ptCount val="1"/>
              </c:numCache>
            </c:numRef>
          </c:cat>
          <c:val>
            <c:numRef>
              <c:f>Kengetallen!$F$102</c:f>
              <c:numCache>
                <c:formatCode>0.0</c:formatCode>
                <c:ptCount val="1"/>
                <c:pt idx="0">
                  <c:v>0</c:v>
                </c:pt>
              </c:numCache>
            </c:numRef>
          </c:val>
          <c:extLst>
            <c:ext xmlns:c16="http://schemas.microsoft.com/office/drawing/2014/chart" uri="{C3380CC4-5D6E-409C-BE32-E72D297353CC}">
              <c16:uniqueId val="{00000003-4BDD-491B-AF71-C3E16CDEFCF5}"/>
            </c:ext>
          </c:extLst>
        </c:ser>
        <c:ser>
          <c:idx val="4"/>
          <c:order val="5"/>
          <c:spPr>
            <a:solidFill>
              <a:srgbClr val="70C82F"/>
            </a:solidFill>
            <a:ln>
              <a:noFill/>
            </a:ln>
            <a:effectLst/>
          </c:spPr>
          <c:invertIfNegative val="0"/>
          <c:cat>
            <c:numRef>
              <c:f>Kengetallen!$F$126</c:f>
              <c:numCache>
                <c:formatCode>General</c:formatCode>
                <c:ptCount val="1"/>
              </c:numCache>
            </c:numRef>
          </c:cat>
          <c:val>
            <c:numRef>
              <c:f>Kengetallen!$F$103</c:f>
              <c:numCache>
                <c:formatCode>0.0</c:formatCode>
                <c:ptCount val="1"/>
                <c:pt idx="0">
                  <c:v>0</c:v>
                </c:pt>
              </c:numCache>
            </c:numRef>
          </c:val>
          <c:extLst>
            <c:ext xmlns:c16="http://schemas.microsoft.com/office/drawing/2014/chart" uri="{C3380CC4-5D6E-409C-BE32-E72D297353CC}">
              <c16:uniqueId val="{00000004-4BDD-491B-AF71-C3E16CDEFCF5}"/>
            </c:ext>
          </c:extLst>
        </c:ser>
        <c:ser>
          <c:idx val="5"/>
          <c:order val="6"/>
          <c:spPr>
            <a:solidFill>
              <a:srgbClr val="344893"/>
            </a:solidFill>
            <a:ln>
              <a:noFill/>
            </a:ln>
            <a:effectLst/>
          </c:spPr>
          <c:invertIfNegative val="0"/>
          <c:cat>
            <c:numRef>
              <c:f>Kengetallen!$F$126</c:f>
              <c:numCache>
                <c:formatCode>General</c:formatCode>
                <c:ptCount val="1"/>
              </c:numCache>
            </c:numRef>
          </c:cat>
          <c:val>
            <c:numRef>
              <c:f>Kengetallen!$F$104</c:f>
              <c:numCache>
                <c:formatCode>0.0</c:formatCode>
                <c:ptCount val="1"/>
                <c:pt idx="0">
                  <c:v>0</c:v>
                </c:pt>
              </c:numCache>
            </c:numRef>
          </c:val>
          <c:extLst>
            <c:ext xmlns:c16="http://schemas.microsoft.com/office/drawing/2014/chart" uri="{C3380CC4-5D6E-409C-BE32-E72D297353CC}">
              <c16:uniqueId val="{00000005-4BDD-491B-AF71-C3E16CDEFCF5}"/>
            </c:ext>
          </c:extLst>
        </c:ser>
        <c:ser>
          <c:idx val="6"/>
          <c:order val="7"/>
          <c:spPr>
            <a:solidFill>
              <a:srgbClr val="F79646"/>
            </a:solidFill>
            <a:ln>
              <a:noFill/>
            </a:ln>
            <a:effectLst/>
          </c:spPr>
          <c:invertIfNegative val="0"/>
          <c:cat>
            <c:numRef>
              <c:f>Kengetallen!$F$126</c:f>
              <c:numCache>
                <c:formatCode>General</c:formatCode>
                <c:ptCount val="1"/>
              </c:numCache>
            </c:numRef>
          </c:cat>
          <c:val>
            <c:numRef>
              <c:f>Kengetallen!$F$105</c:f>
              <c:numCache>
                <c:formatCode>0.0</c:formatCode>
                <c:ptCount val="1"/>
                <c:pt idx="0">
                  <c:v>0</c:v>
                </c:pt>
              </c:numCache>
            </c:numRef>
          </c:val>
          <c:extLst>
            <c:ext xmlns:c16="http://schemas.microsoft.com/office/drawing/2014/chart" uri="{C3380CC4-5D6E-409C-BE32-E72D297353CC}">
              <c16:uniqueId val="{00000006-4BDD-491B-AF71-C3E16CDEFCF5}"/>
            </c:ext>
          </c:extLst>
        </c:ser>
        <c:ser>
          <c:idx val="7"/>
          <c:order val="8"/>
          <c:spPr>
            <a:solidFill>
              <a:srgbClr val="FF0000"/>
            </a:solidFill>
            <a:ln>
              <a:noFill/>
            </a:ln>
            <a:effectLst/>
          </c:spPr>
          <c:invertIfNegative val="0"/>
          <c:cat>
            <c:numRef>
              <c:f>Kengetallen!$F$126</c:f>
              <c:numCache>
                <c:formatCode>General</c:formatCode>
                <c:ptCount val="1"/>
              </c:numCache>
            </c:numRef>
          </c:cat>
          <c:val>
            <c:numRef>
              <c:f>Kengetallen!$F$106</c:f>
              <c:numCache>
                <c:formatCode>0.0</c:formatCode>
                <c:ptCount val="1"/>
                <c:pt idx="0">
                  <c:v>0</c:v>
                </c:pt>
              </c:numCache>
            </c:numRef>
          </c:val>
          <c:extLst>
            <c:ext xmlns:c16="http://schemas.microsoft.com/office/drawing/2014/chart" uri="{C3380CC4-5D6E-409C-BE32-E72D297353CC}">
              <c16:uniqueId val="{00000007-4BDD-491B-AF71-C3E16CDEFCF5}"/>
            </c:ext>
          </c:extLst>
        </c:ser>
        <c:ser>
          <c:idx val="8"/>
          <c:order val="9"/>
          <c:spPr>
            <a:solidFill>
              <a:srgbClr val="009C9E"/>
            </a:solidFill>
            <a:ln>
              <a:noFill/>
            </a:ln>
            <a:effectLst/>
          </c:spPr>
          <c:invertIfNegative val="0"/>
          <c:cat>
            <c:numRef>
              <c:f>Kengetallen!$F$126</c:f>
              <c:numCache>
                <c:formatCode>General</c:formatCode>
                <c:ptCount val="1"/>
              </c:numCache>
            </c:numRef>
          </c:cat>
          <c:val>
            <c:numRef>
              <c:f>Kengetallen!$F$107</c:f>
              <c:numCache>
                <c:formatCode>0.0</c:formatCode>
                <c:ptCount val="1"/>
                <c:pt idx="0">
                  <c:v>0</c:v>
                </c:pt>
              </c:numCache>
            </c:numRef>
          </c:val>
          <c:extLst>
            <c:ext xmlns:c16="http://schemas.microsoft.com/office/drawing/2014/chart" uri="{C3380CC4-5D6E-409C-BE32-E72D297353CC}">
              <c16:uniqueId val="{00000008-4BDD-491B-AF71-C3E16CDEFCF5}"/>
            </c:ext>
          </c:extLst>
        </c:ser>
        <c:ser>
          <c:idx val="9"/>
          <c:order val="10"/>
          <c:spPr>
            <a:solidFill>
              <a:srgbClr val="41C4B3"/>
            </a:solidFill>
            <a:ln>
              <a:noFill/>
            </a:ln>
            <a:effectLst/>
          </c:spPr>
          <c:invertIfNegative val="0"/>
          <c:cat>
            <c:numRef>
              <c:f>Kengetallen!$F$126</c:f>
              <c:numCache>
                <c:formatCode>General</c:formatCode>
                <c:ptCount val="1"/>
              </c:numCache>
            </c:numRef>
          </c:cat>
          <c:val>
            <c:numRef>
              <c:f>Kengetallen!$F$108</c:f>
              <c:numCache>
                <c:formatCode>0.0</c:formatCode>
                <c:ptCount val="1"/>
                <c:pt idx="0">
                  <c:v>0</c:v>
                </c:pt>
              </c:numCache>
            </c:numRef>
          </c:val>
          <c:extLst>
            <c:ext xmlns:c16="http://schemas.microsoft.com/office/drawing/2014/chart" uri="{C3380CC4-5D6E-409C-BE32-E72D297353CC}">
              <c16:uniqueId val="{00000009-4BDD-491B-AF71-C3E16CDEFCF5}"/>
            </c:ext>
          </c:extLst>
        </c:ser>
        <c:ser>
          <c:idx val="10"/>
          <c:order val="11"/>
          <c:spPr>
            <a:solidFill>
              <a:srgbClr val="F27221"/>
            </a:solidFill>
            <a:ln>
              <a:noFill/>
            </a:ln>
            <a:effectLst/>
          </c:spPr>
          <c:invertIfNegative val="0"/>
          <c:cat>
            <c:numRef>
              <c:f>Kengetallen!$F$126</c:f>
              <c:numCache>
                <c:formatCode>General</c:formatCode>
                <c:ptCount val="1"/>
              </c:numCache>
            </c:numRef>
          </c:cat>
          <c:val>
            <c:numRef>
              <c:f>Kengetallen!$F$109</c:f>
              <c:numCache>
                <c:formatCode>0.0</c:formatCode>
                <c:ptCount val="1"/>
                <c:pt idx="0">
                  <c:v>0</c:v>
                </c:pt>
              </c:numCache>
            </c:numRef>
          </c:val>
          <c:extLst>
            <c:ext xmlns:c16="http://schemas.microsoft.com/office/drawing/2014/chart" uri="{C3380CC4-5D6E-409C-BE32-E72D297353CC}">
              <c16:uniqueId val="{0000000A-4BDD-491B-AF71-C3E16CDEFCF5}"/>
            </c:ext>
          </c:extLst>
        </c:ser>
        <c:ser>
          <c:idx val="11"/>
          <c:order val="12"/>
          <c:spPr>
            <a:solidFill>
              <a:schemeClr val="accent6">
                <a:lumMod val="60000"/>
              </a:schemeClr>
            </a:solidFill>
            <a:ln>
              <a:noFill/>
            </a:ln>
            <a:effectLst/>
          </c:spPr>
          <c:invertIfNegative val="0"/>
          <c:cat>
            <c:numRef>
              <c:f>Kengetallen!$F$126</c:f>
              <c:numCache>
                <c:formatCode>General</c:formatCode>
                <c:ptCount val="1"/>
              </c:numCache>
            </c:numRef>
          </c:cat>
          <c:val>
            <c:numRef>
              <c:f>Kengetallen!$F$110</c:f>
              <c:numCache>
                <c:formatCode>0.0</c:formatCode>
                <c:ptCount val="1"/>
                <c:pt idx="0">
                  <c:v>0</c:v>
                </c:pt>
              </c:numCache>
            </c:numRef>
          </c:val>
          <c:extLst>
            <c:ext xmlns:c16="http://schemas.microsoft.com/office/drawing/2014/chart" uri="{C3380CC4-5D6E-409C-BE32-E72D297353CC}">
              <c16:uniqueId val="{0000000B-4BDD-491B-AF71-C3E16CDEFCF5}"/>
            </c:ext>
          </c:extLst>
        </c:ser>
        <c:ser>
          <c:idx val="12"/>
          <c:order val="13"/>
          <c:spPr>
            <a:solidFill>
              <a:schemeClr val="accent1">
                <a:lumMod val="80000"/>
                <a:lumOff val="20000"/>
              </a:schemeClr>
            </a:solidFill>
            <a:ln>
              <a:noFill/>
            </a:ln>
            <a:effectLst/>
          </c:spPr>
          <c:invertIfNegative val="0"/>
          <c:cat>
            <c:numRef>
              <c:f>Kengetallen!$F$126</c:f>
              <c:numCache>
                <c:formatCode>General</c:formatCode>
                <c:ptCount val="1"/>
              </c:numCache>
            </c:numRef>
          </c:cat>
          <c:val>
            <c:numRef>
              <c:f>Kengetallen!$F$111</c:f>
              <c:numCache>
                <c:formatCode>0.0</c:formatCode>
                <c:ptCount val="1"/>
                <c:pt idx="0">
                  <c:v>0</c:v>
                </c:pt>
              </c:numCache>
            </c:numRef>
          </c:val>
          <c:extLst>
            <c:ext xmlns:c16="http://schemas.microsoft.com/office/drawing/2014/chart" uri="{C3380CC4-5D6E-409C-BE32-E72D297353CC}">
              <c16:uniqueId val="{0000000C-4BDD-491B-AF71-C3E16CDEFCF5}"/>
            </c:ext>
          </c:extLst>
        </c:ser>
        <c:ser>
          <c:idx val="13"/>
          <c:order val="14"/>
          <c:spPr>
            <a:solidFill>
              <a:schemeClr val="bg1"/>
            </a:solidFill>
            <a:ln>
              <a:solidFill>
                <a:sysClr val="windowText" lastClr="000000"/>
              </a:solidFill>
            </a:ln>
            <a:effectLst/>
          </c:spPr>
          <c:invertIfNegative val="0"/>
          <c:cat>
            <c:numRef>
              <c:f>Kengetallen!$F$126</c:f>
              <c:numCache>
                <c:formatCode>General</c:formatCode>
                <c:ptCount val="1"/>
              </c:numCache>
            </c:numRef>
          </c:cat>
          <c:val>
            <c:numRef>
              <c:f>Kengetallen!$F$112</c:f>
              <c:numCache>
                <c:formatCode>0.0</c:formatCode>
                <c:ptCount val="1"/>
                <c:pt idx="0">
                  <c:v>0</c:v>
                </c:pt>
              </c:numCache>
            </c:numRef>
          </c:val>
          <c:extLst>
            <c:ext xmlns:c16="http://schemas.microsoft.com/office/drawing/2014/chart" uri="{C3380CC4-5D6E-409C-BE32-E72D297353CC}">
              <c16:uniqueId val="{0000000D-4BDD-491B-AF71-C3E16CDEFCF5}"/>
            </c:ext>
          </c:extLst>
        </c:ser>
        <c:dLbls>
          <c:showLegendKey val="0"/>
          <c:showVal val="0"/>
          <c:showCatName val="0"/>
          <c:showSerName val="0"/>
          <c:showPercent val="0"/>
          <c:showBubbleSize val="0"/>
        </c:dLbls>
        <c:gapWidth val="182"/>
        <c:axId val="583278232"/>
        <c:axId val="583280528"/>
      </c:barChart>
      <c:catAx>
        <c:axId val="583278232"/>
        <c:scaling>
          <c:orientation val="minMax"/>
        </c:scaling>
        <c:delete val="0"/>
        <c:axPos val="l"/>
        <c:numFmt formatCode="General" sourceLinked="1"/>
        <c:majorTickMark val="none"/>
        <c:minorTickMark val="none"/>
        <c:tickLblPos val="nextTo"/>
        <c:spPr>
          <a:solidFill>
            <a:schemeClr val="tx1">
              <a:lumMod val="50000"/>
              <a:lumOff val="50000"/>
            </a:schemeClr>
          </a:solid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80528"/>
        <c:crosses val="autoZero"/>
        <c:auto val="1"/>
        <c:lblAlgn val="ctr"/>
        <c:lblOffset val="100"/>
        <c:noMultiLvlLbl val="0"/>
      </c:catAx>
      <c:valAx>
        <c:axId val="583280528"/>
        <c:scaling>
          <c:orientation val="minMax"/>
        </c:scaling>
        <c:delete val="0"/>
        <c:axPos val="b"/>
        <c:majorGridlines>
          <c:spPr>
            <a:ln w="9525" cap="flat" cmpd="sng" algn="ctr">
              <a:solidFill>
                <a:srgbClr val="D9D9D9"/>
              </a:solidFill>
              <a:prstDash val="solid"/>
              <a:round/>
              <a:headEnd type="none" w="med" len="med"/>
              <a:tailEnd type="none" w="med" len="me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(kg CO2-eq)</a:t>
                </a:r>
              </a:p>
            </c:rich>
          </c:tx>
          <c:layout>
            <c:manualLayout>
              <c:xMode val="edge"/>
              <c:yMode val="edge"/>
              <c:x val="0.21584582346787071"/>
              <c:y val="0.936968824018948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78232"/>
        <c:crosses val="autoZero"/>
        <c:crossBetween val="between"/>
      </c:valAx>
      <c:spPr>
        <a:solidFill>
          <a:srgbClr val="FFFFFF"/>
        </a:solidFill>
        <a:ln>
          <a:solidFill>
            <a:srgbClr val="D9D9D9"/>
          </a:solidFill>
        </a:ln>
        <a:effectLst/>
      </c:spPr>
    </c:plotArea>
    <c:plotVisOnly val="1"/>
    <c:dispBlanksAs val="gap"/>
    <c:showDLblsOverMax val="0"/>
  </c:chart>
  <c:spPr>
    <a:solidFill>
      <a:srgbClr val="FFFFFF"/>
    </a:solidFill>
    <a:ln w="6350" cap="flat" cmpd="sng" algn="ctr">
      <a:no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a:t>Klimaatimpact verwerking groenafval (per ton groenafval) </a:t>
            </a:r>
          </a:p>
        </c:rich>
      </c:tx>
      <c:layout>
        <c:manualLayout>
          <c:xMode val="edge"/>
          <c:yMode val="edge"/>
          <c:x val="0.14266361866057065"/>
          <c:y val="1.6415868673050615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5.9402668416447944E-2"/>
          <c:y val="0.10192897228475714"/>
          <c:w val="0.39173919747713148"/>
          <c:h val="0.55280911705462266"/>
        </c:manualLayout>
      </c:layout>
      <c:barChart>
        <c:barDir val="bar"/>
        <c:grouping val="clustered"/>
        <c:varyColors val="0"/>
        <c:ser>
          <c:idx val="0"/>
          <c:order val="0"/>
          <c:tx>
            <c:strRef>
              <c:f>Kengetallen!$B$98</c:f>
              <c:strCache>
                <c:ptCount val="1"/>
                <c:pt idx="0">
                  <c:v>Transport (aanvoer)</c:v>
                </c:pt>
              </c:strCache>
            </c:strRef>
          </c:tx>
          <c:spPr>
            <a:solidFill>
              <a:srgbClr val="009DD8"/>
            </a:solidFill>
            <a:ln>
              <a:noFill/>
            </a:ln>
            <a:effectLst/>
          </c:spPr>
          <c:invertIfNegative val="0"/>
          <c:cat>
            <c:numRef>
              <c:f>Kengetallen!$B$131</c:f>
              <c:numCache>
                <c:formatCode>General</c:formatCode>
                <c:ptCount val="1"/>
              </c:numCache>
            </c:numRef>
          </c:cat>
          <c:val>
            <c:numRef>
              <c:f>Kengetallen!$E$98</c:f>
              <c:numCache>
                <c:formatCode>0.0</c:formatCode>
                <c:ptCount val="1"/>
                <c:pt idx="0">
                  <c:v>0</c:v>
                </c:pt>
              </c:numCache>
            </c:numRef>
          </c:val>
          <c:extLst>
            <c:ext xmlns:c16="http://schemas.microsoft.com/office/drawing/2014/chart" uri="{C3380CC4-5D6E-409C-BE32-E72D297353CC}">
              <c16:uniqueId val="{00000000-C718-4D4F-8EB7-135330AFFD86}"/>
            </c:ext>
          </c:extLst>
        </c:ser>
        <c:ser>
          <c:idx val="1"/>
          <c:order val="1"/>
          <c:tx>
            <c:strRef>
              <c:f>Kengetallen!$B$100</c:f>
              <c:strCache>
                <c:ptCount val="1"/>
                <c:pt idx="0">
                  <c:v>Energiegebruik inrichting</c:v>
                </c:pt>
              </c:strCache>
            </c:strRef>
          </c:tx>
          <c:spPr>
            <a:solidFill>
              <a:srgbClr val="8DD3FF"/>
            </a:solidFill>
            <a:ln>
              <a:noFill/>
            </a:ln>
            <a:effectLst/>
          </c:spPr>
          <c:invertIfNegative val="0"/>
          <c:cat>
            <c:numRef>
              <c:f>Kengetallen!$B$131</c:f>
              <c:numCache>
                <c:formatCode>General</c:formatCode>
                <c:ptCount val="1"/>
              </c:numCache>
            </c:numRef>
          </c:cat>
          <c:val>
            <c:numRef>
              <c:f>Kengetallen!$E$100</c:f>
              <c:numCache>
                <c:formatCode>0.0</c:formatCode>
                <c:ptCount val="1"/>
                <c:pt idx="0">
                  <c:v>0</c:v>
                </c:pt>
              </c:numCache>
            </c:numRef>
          </c:val>
          <c:extLst>
            <c:ext xmlns:c16="http://schemas.microsoft.com/office/drawing/2014/chart" uri="{C3380CC4-5D6E-409C-BE32-E72D297353CC}">
              <c16:uniqueId val="{00000001-C718-4D4F-8EB7-135330AFFD86}"/>
            </c:ext>
          </c:extLst>
        </c:ser>
        <c:ser>
          <c:idx val="2"/>
          <c:order val="2"/>
          <c:tx>
            <c:strRef>
              <c:f>Kengetallen!$B$101</c:f>
              <c:strCache>
                <c:ptCount val="1"/>
                <c:pt idx="0">
                  <c:v>Hout naar bio-energiecentrale</c:v>
                </c:pt>
              </c:strCache>
            </c:strRef>
          </c:tx>
          <c:spPr>
            <a:solidFill>
              <a:srgbClr val="FFDB00"/>
            </a:solidFill>
            <a:ln>
              <a:noFill/>
            </a:ln>
            <a:effectLst/>
          </c:spPr>
          <c:invertIfNegative val="0"/>
          <c:cat>
            <c:numRef>
              <c:f>Kengetallen!$B$131</c:f>
              <c:numCache>
                <c:formatCode>General</c:formatCode>
                <c:ptCount val="1"/>
              </c:numCache>
            </c:numRef>
          </c:cat>
          <c:val>
            <c:numRef>
              <c:f>Kengetallen!$E$101</c:f>
              <c:numCache>
                <c:formatCode>0.0</c:formatCode>
                <c:ptCount val="1"/>
                <c:pt idx="0">
                  <c:v>0</c:v>
                </c:pt>
              </c:numCache>
            </c:numRef>
          </c:val>
          <c:extLst>
            <c:ext xmlns:c16="http://schemas.microsoft.com/office/drawing/2014/chart" uri="{C3380CC4-5D6E-409C-BE32-E72D297353CC}">
              <c16:uniqueId val="{00000002-C718-4D4F-8EB7-135330AFFD86}"/>
            </c:ext>
          </c:extLst>
        </c:ser>
        <c:ser>
          <c:idx val="3"/>
          <c:order val="3"/>
          <c:tx>
            <c:strRef>
              <c:f>Kengetallen!$B$102</c:f>
              <c:strCache>
                <c:ptCount val="1"/>
                <c:pt idx="0">
                  <c:v>Maaisels naar co-vergister</c:v>
                </c:pt>
              </c:strCache>
            </c:strRef>
          </c:tx>
          <c:spPr>
            <a:solidFill>
              <a:srgbClr val="009133"/>
            </a:solidFill>
            <a:ln>
              <a:noFill/>
            </a:ln>
            <a:effectLst/>
          </c:spPr>
          <c:invertIfNegative val="0"/>
          <c:cat>
            <c:numRef>
              <c:f>Kengetallen!$B$131</c:f>
              <c:numCache>
                <c:formatCode>General</c:formatCode>
                <c:ptCount val="1"/>
              </c:numCache>
            </c:numRef>
          </c:cat>
          <c:val>
            <c:numRef>
              <c:f>Kengetallen!$E$102</c:f>
              <c:numCache>
                <c:formatCode>0.0</c:formatCode>
                <c:ptCount val="1"/>
                <c:pt idx="0">
                  <c:v>0</c:v>
                </c:pt>
              </c:numCache>
            </c:numRef>
          </c:val>
          <c:extLst>
            <c:ext xmlns:c16="http://schemas.microsoft.com/office/drawing/2014/chart" uri="{C3380CC4-5D6E-409C-BE32-E72D297353CC}">
              <c16:uniqueId val="{00000003-C718-4D4F-8EB7-135330AFFD86}"/>
            </c:ext>
          </c:extLst>
        </c:ser>
        <c:ser>
          <c:idx val="4"/>
          <c:order val="4"/>
          <c:tx>
            <c:strRef>
              <c:f>Kengetallen!$B$103</c:f>
              <c:strCache>
                <c:ptCount val="1"/>
                <c:pt idx="0">
                  <c:v>Maaisels naar gft-vergister</c:v>
                </c:pt>
              </c:strCache>
            </c:strRef>
          </c:tx>
          <c:spPr>
            <a:solidFill>
              <a:srgbClr val="70C82F"/>
            </a:solidFill>
            <a:ln>
              <a:noFill/>
            </a:ln>
            <a:effectLst/>
          </c:spPr>
          <c:invertIfNegative val="0"/>
          <c:cat>
            <c:numRef>
              <c:f>Kengetallen!$B$131</c:f>
              <c:numCache>
                <c:formatCode>General</c:formatCode>
                <c:ptCount val="1"/>
              </c:numCache>
            </c:numRef>
          </c:cat>
          <c:val>
            <c:numRef>
              <c:f>Kengetallen!$E$103</c:f>
              <c:numCache>
                <c:formatCode>0.0</c:formatCode>
                <c:ptCount val="1"/>
                <c:pt idx="0">
                  <c:v>0</c:v>
                </c:pt>
              </c:numCache>
            </c:numRef>
          </c:val>
          <c:extLst>
            <c:ext xmlns:c16="http://schemas.microsoft.com/office/drawing/2014/chart" uri="{C3380CC4-5D6E-409C-BE32-E72D297353CC}">
              <c16:uniqueId val="{00000004-C718-4D4F-8EB7-135330AFFD86}"/>
            </c:ext>
          </c:extLst>
        </c:ser>
        <c:ser>
          <c:idx val="5"/>
          <c:order val="5"/>
          <c:tx>
            <c:strRef>
              <c:f>Kengetallen!$B$104</c:f>
              <c:strCache>
                <c:ptCount val="1"/>
                <c:pt idx="0">
                  <c:v>Afgescheiden zeefgrond</c:v>
                </c:pt>
              </c:strCache>
            </c:strRef>
          </c:tx>
          <c:spPr>
            <a:solidFill>
              <a:srgbClr val="344893"/>
            </a:solidFill>
            <a:ln>
              <a:noFill/>
            </a:ln>
            <a:effectLst/>
          </c:spPr>
          <c:invertIfNegative val="0"/>
          <c:cat>
            <c:numRef>
              <c:f>Kengetallen!$B$131</c:f>
              <c:numCache>
                <c:formatCode>General</c:formatCode>
                <c:ptCount val="1"/>
              </c:numCache>
            </c:numRef>
          </c:cat>
          <c:val>
            <c:numRef>
              <c:f>Kengetallen!$E$104</c:f>
              <c:numCache>
                <c:formatCode>0.0</c:formatCode>
                <c:ptCount val="1"/>
                <c:pt idx="0">
                  <c:v>0</c:v>
                </c:pt>
              </c:numCache>
            </c:numRef>
          </c:val>
          <c:extLst>
            <c:ext xmlns:c16="http://schemas.microsoft.com/office/drawing/2014/chart" uri="{C3380CC4-5D6E-409C-BE32-E72D297353CC}">
              <c16:uniqueId val="{00000005-C718-4D4F-8EB7-135330AFFD86}"/>
            </c:ext>
          </c:extLst>
        </c:ser>
        <c:ser>
          <c:idx val="6"/>
          <c:order val="6"/>
          <c:tx>
            <c:strRef>
              <c:f>Kengetallen!$B$105</c:f>
              <c:strCache>
                <c:ptCount val="1"/>
                <c:pt idx="0">
                  <c:v>Bokashi</c:v>
                </c:pt>
              </c:strCache>
            </c:strRef>
          </c:tx>
          <c:spPr>
            <a:solidFill>
              <a:srgbClr val="F79646"/>
            </a:solidFill>
            <a:ln>
              <a:noFill/>
            </a:ln>
            <a:effectLst/>
          </c:spPr>
          <c:invertIfNegative val="0"/>
          <c:cat>
            <c:numRef>
              <c:f>Kengetallen!$B$131</c:f>
              <c:numCache>
                <c:formatCode>General</c:formatCode>
                <c:ptCount val="1"/>
              </c:numCache>
            </c:numRef>
          </c:cat>
          <c:val>
            <c:numRef>
              <c:f>Kengetallen!$E$105</c:f>
              <c:numCache>
                <c:formatCode>0.0</c:formatCode>
                <c:ptCount val="1"/>
                <c:pt idx="0">
                  <c:v>0</c:v>
                </c:pt>
              </c:numCache>
            </c:numRef>
          </c:val>
          <c:extLst>
            <c:ext xmlns:c16="http://schemas.microsoft.com/office/drawing/2014/chart" uri="{C3380CC4-5D6E-409C-BE32-E72D297353CC}">
              <c16:uniqueId val="{00000006-C718-4D4F-8EB7-135330AFFD86}"/>
            </c:ext>
          </c:extLst>
        </c:ser>
        <c:ser>
          <c:idx val="7"/>
          <c:order val="7"/>
          <c:tx>
            <c:strRef>
              <c:f>Kengetallen!$B$106</c:f>
              <c:strCache>
                <c:ptCount val="1"/>
                <c:pt idx="0">
                  <c:v>Kleine kringloop</c:v>
                </c:pt>
              </c:strCache>
            </c:strRef>
          </c:tx>
          <c:spPr>
            <a:solidFill>
              <a:srgbClr val="FF0000"/>
            </a:solidFill>
            <a:ln>
              <a:noFill/>
            </a:ln>
            <a:effectLst/>
          </c:spPr>
          <c:invertIfNegative val="0"/>
          <c:cat>
            <c:numRef>
              <c:f>Kengetallen!$B$131</c:f>
              <c:numCache>
                <c:formatCode>General</c:formatCode>
                <c:ptCount val="1"/>
              </c:numCache>
            </c:numRef>
          </c:cat>
          <c:val>
            <c:numRef>
              <c:f>Kengetallen!$E$106</c:f>
              <c:numCache>
                <c:formatCode>0.0</c:formatCode>
                <c:ptCount val="1"/>
                <c:pt idx="0">
                  <c:v>0</c:v>
                </c:pt>
              </c:numCache>
            </c:numRef>
          </c:val>
          <c:extLst>
            <c:ext xmlns:c16="http://schemas.microsoft.com/office/drawing/2014/chart" uri="{C3380CC4-5D6E-409C-BE32-E72D297353CC}">
              <c16:uniqueId val="{00000007-C718-4D4F-8EB7-135330AFFD86}"/>
            </c:ext>
          </c:extLst>
        </c:ser>
        <c:ser>
          <c:idx val="8"/>
          <c:order val="8"/>
          <c:tx>
            <c:strRef>
              <c:f>Kengetallen!$B$107</c:f>
              <c:strCache>
                <c:ptCount val="1"/>
                <c:pt idx="0">
                  <c:v>Compostering </c:v>
                </c:pt>
              </c:strCache>
            </c:strRef>
          </c:tx>
          <c:spPr>
            <a:solidFill>
              <a:srgbClr val="009C9E"/>
            </a:solidFill>
            <a:ln>
              <a:noFill/>
            </a:ln>
            <a:effectLst/>
          </c:spPr>
          <c:invertIfNegative val="0"/>
          <c:cat>
            <c:numRef>
              <c:f>Kengetallen!$B$131</c:f>
              <c:numCache>
                <c:formatCode>General</c:formatCode>
                <c:ptCount val="1"/>
              </c:numCache>
            </c:numRef>
          </c:cat>
          <c:val>
            <c:numRef>
              <c:f>Kengetallen!$E$107</c:f>
              <c:numCache>
                <c:formatCode>0.0</c:formatCode>
                <c:ptCount val="1"/>
                <c:pt idx="0">
                  <c:v>0</c:v>
                </c:pt>
              </c:numCache>
            </c:numRef>
          </c:val>
          <c:extLst>
            <c:ext xmlns:c16="http://schemas.microsoft.com/office/drawing/2014/chart" uri="{C3380CC4-5D6E-409C-BE32-E72D297353CC}">
              <c16:uniqueId val="{00000008-C718-4D4F-8EB7-135330AFFD86}"/>
            </c:ext>
          </c:extLst>
        </c:ser>
        <c:ser>
          <c:idx val="9"/>
          <c:order val="9"/>
          <c:tx>
            <c:strRef>
              <c:f>Kengetallen!$B$108</c:f>
              <c:strCache>
                <c:ptCount val="1"/>
                <c:pt idx="0">
                  <c:v>Toepassing compost</c:v>
                </c:pt>
              </c:strCache>
            </c:strRef>
          </c:tx>
          <c:spPr>
            <a:solidFill>
              <a:srgbClr val="41C4B3"/>
            </a:solidFill>
            <a:ln>
              <a:noFill/>
            </a:ln>
            <a:effectLst/>
          </c:spPr>
          <c:invertIfNegative val="0"/>
          <c:cat>
            <c:numRef>
              <c:f>Kengetallen!$B$131</c:f>
              <c:numCache>
                <c:formatCode>General</c:formatCode>
                <c:ptCount val="1"/>
              </c:numCache>
            </c:numRef>
          </c:cat>
          <c:val>
            <c:numRef>
              <c:f>Kengetallen!$E$108</c:f>
              <c:numCache>
                <c:formatCode>0.0</c:formatCode>
                <c:ptCount val="1"/>
                <c:pt idx="0">
                  <c:v>0</c:v>
                </c:pt>
              </c:numCache>
            </c:numRef>
          </c:val>
          <c:extLst>
            <c:ext xmlns:c16="http://schemas.microsoft.com/office/drawing/2014/chart" uri="{C3380CC4-5D6E-409C-BE32-E72D297353CC}">
              <c16:uniqueId val="{00000009-C718-4D4F-8EB7-135330AFFD86}"/>
            </c:ext>
          </c:extLst>
        </c:ser>
        <c:ser>
          <c:idx val="10"/>
          <c:order val="10"/>
          <c:tx>
            <c:strRef>
              <c:f>Kengetallen!$B$109</c:f>
              <c:strCache>
                <c:ptCount val="1"/>
                <c:pt idx="0">
                  <c:v>Surplus water naar RWZI</c:v>
                </c:pt>
              </c:strCache>
            </c:strRef>
          </c:tx>
          <c:spPr>
            <a:solidFill>
              <a:srgbClr val="F27221"/>
            </a:solidFill>
            <a:ln>
              <a:noFill/>
            </a:ln>
            <a:effectLst/>
          </c:spPr>
          <c:invertIfNegative val="0"/>
          <c:cat>
            <c:numRef>
              <c:f>Kengetallen!$B$131</c:f>
              <c:numCache>
                <c:formatCode>General</c:formatCode>
                <c:ptCount val="1"/>
              </c:numCache>
            </c:numRef>
          </c:cat>
          <c:val>
            <c:numRef>
              <c:f>Kengetallen!$E$109</c:f>
              <c:numCache>
                <c:formatCode>0.0</c:formatCode>
                <c:ptCount val="1"/>
                <c:pt idx="0">
                  <c:v>0</c:v>
                </c:pt>
              </c:numCache>
            </c:numRef>
          </c:val>
          <c:extLst>
            <c:ext xmlns:c16="http://schemas.microsoft.com/office/drawing/2014/chart" uri="{C3380CC4-5D6E-409C-BE32-E72D297353CC}">
              <c16:uniqueId val="{0000000A-C718-4D4F-8EB7-135330AFFD86}"/>
            </c:ext>
          </c:extLst>
        </c:ser>
        <c:ser>
          <c:idx val="11"/>
          <c:order val="11"/>
          <c:tx>
            <c:strRef>
              <c:f>Kengetallen!$B$110</c:f>
              <c:strCache>
                <c:ptCount val="1"/>
                <c:pt idx="0">
                  <c:v>Residu naar AEC/stort/hergebruik</c:v>
                </c:pt>
              </c:strCache>
            </c:strRef>
          </c:tx>
          <c:spPr>
            <a:solidFill>
              <a:schemeClr val="accent6">
                <a:lumMod val="60000"/>
              </a:schemeClr>
            </a:solidFill>
            <a:ln>
              <a:noFill/>
            </a:ln>
            <a:effectLst/>
          </c:spPr>
          <c:invertIfNegative val="0"/>
          <c:cat>
            <c:numRef>
              <c:f>Kengetallen!$B$131</c:f>
              <c:numCache>
                <c:formatCode>General</c:formatCode>
                <c:ptCount val="1"/>
              </c:numCache>
            </c:numRef>
          </c:cat>
          <c:val>
            <c:numRef>
              <c:f>Kengetallen!$E$110</c:f>
              <c:numCache>
                <c:formatCode>0.0</c:formatCode>
                <c:ptCount val="1"/>
                <c:pt idx="0">
                  <c:v>0</c:v>
                </c:pt>
              </c:numCache>
            </c:numRef>
          </c:val>
          <c:extLst>
            <c:ext xmlns:c16="http://schemas.microsoft.com/office/drawing/2014/chart" uri="{C3380CC4-5D6E-409C-BE32-E72D297353CC}">
              <c16:uniqueId val="{0000000B-C718-4D4F-8EB7-135330AFFD86}"/>
            </c:ext>
          </c:extLst>
        </c:ser>
        <c:ser>
          <c:idx val="12"/>
          <c:order val="12"/>
          <c:tx>
            <c:strRef>
              <c:f>Kengetallen!$B$111</c:f>
              <c:strCache>
                <c:ptCount val="1"/>
                <c:pt idx="0">
                  <c:v>Alternatieve opwerking</c:v>
                </c:pt>
              </c:strCache>
            </c:strRef>
          </c:tx>
          <c:spPr>
            <a:solidFill>
              <a:schemeClr val="accent1">
                <a:lumMod val="80000"/>
                <a:lumOff val="20000"/>
              </a:schemeClr>
            </a:solidFill>
            <a:ln>
              <a:noFill/>
            </a:ln>
            <a:effectLst/>
          </c:spPr>
          <c:invertIfNegative val="0"/>
          <c:cat>
            <c:numRef>
              <c:f>Kengetallen!$B$131</c:f>
              <c:numCache>
                <c:formatCode>General</c:formatCode>
                <c:ptCount val="1"/>
              </c:numCache>
            </c:numRef>
          </c:cat>
          <c:val>
            <c:numRef>
              <c:f>Kengetallen!$E$111</c:f>
              <c:numCache>
                <c:formatCode>0.0</c:formatCode>
                <c:ptCount val="1"/>
                <c:pt idx="0">
                  <c:v>0</c:v>
                </c:pt>
              </c:numCache>
            </c:numRef>
          </c:val>
          <c:extLst>
            <c:ext xmlns:c16="http://schemas.microsoft.com/office/drawing/2014/chart" uri="{C3380CC4-5D6E-409C-BE32-E72D297353CC}">
              <c16:uniqueId val="{0000000C-C718-4D4F-8EB7-135330AFFD86}"/>
            </c:ext>
          </c:extLst>
        </c:ser>
        <c:ser>
          <c:idx val="13"/>
          <c:order val="13"/>
          <c:tx>
            <c:strRef>
              <c:f>Kengetallen!$B$112</c:f>
              <c:strCache>
                <c:ptCount val="1"/>
                <c:pt idx="0">
                  <c:v>Totaal</c:v>
                </c:pt>
              </c:strCache>
            </c:strRef>
          </c:tx>
          <c:spPr>
            <a:solidFill>
              <a:schemeClr val="accent2">
                <a:lumMod val="80000"/>
                <a:lumOff val="20000"/>
              </a:schemeClr>
            </a:solidFill>
            <a:ln>
              <a:noFill/>
            </a:ln>
            <a:effectLst/>
          </c:spPr>
          <c:invertIfNegative val="0"/>
          <c:cat>
            <c:numRef>
              <c:f>Kengetallen!$B$131</c:f>
              <c:numCache>
                <c:formatCode>General</c:formatCode>
                <c:ptCount val="1"/>
              </c:numCache>
            </c:numRef>
          </c:cat>
          <c:val>
            <c:numRef>
              <c:f>Kengetallen!$E$112</c:f>
              <c:numCache>
                <c:formatCode>0.0</c:formatCode>
                <c:ptCount val="1"/>
                <c:pt idx="0">
                  <c:v>0</c:v>
                </c:pt>
              </c:numCache>
            </c:numRef>
          </c:val>
          <c:extLst>
            <c:ext xmlns:c16="http://schemas.microsoft.com/office/drawing/2014/chart" uri="{C3380CC4-5D6E-409C-BE32-E72D297353CC}">
              <c16:uniqueId val="{0000000D-C718-4D4F-8EB7-135330AFFD86}"/>
            </c:ext>
          </c:extLst>
        </c:ser>
        <c:dLbls>
          <c:showLegendKey val="0"/>
          <c:showVal val="0"/>
          <c:showCatName val="0"/>
          <c:showSerName val="0"/>
          <c:showPercent val="0"/>
          <c:showBubbleSize val="0"/>
        </c:dLbls>
        <c:gapWidth val="182"/>
        <c:axId val="887754000"/>
        <c:axId val="887754328"/>
      </c:barChart>
      <c:catAx>
        <c:axId val="887754000"/>
        <c:scaling>
          <c:orientation val="minMax"/>
        </c:scaling>
        <c:delete val="0"/>
        <c:axPos val="l"/>
        <c:numFmt formatCode="General" sourceLinked="1"/>
        <c:majorTickMark val="none"/>
        <c:minorTickMark val="none"/>
        <c:tickLblPos val="nextTo"/>
        <c:spPr>
          <a:solidFill>
            <a:schemeClr val="tx1">
              <a:lumMod val="50000"/>
              <a:lumOff val="50000"/>
            </a:schemeClr>
          </a:solid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887754328"/>
        <c:crosses val="autoZero"/>
        <c:auto val="1"/>
        <c:lblAlgn val="ctr"/>
        <c:lblOffset val="100"/>
        <c:noMultiLvlLbl val="0"/>
      </c:catAx>
      <c:valAx>
        <c:axId val="887754328"/>
        <c:scaling>
          <c:orientation val="minMax"/>
        </c:scaling>
        <c:delete val="0"/>
        <c:axPos val="b"/>
        <c:majorGridlines>
          <c:spPr>
            <a:ln w="9525" cap="flat" cmpd="sng" algn="ctr">
              <a:solidFill>
                <a:srgbClr val="D9D9D9"/>
              </a:solidFill>
              <a:prstDash val="solid"/>
              <a:round/>
              <a:headEnd type="none" w="med" len="med"/>
              <a:tailEnd type="none" w="med" len="me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(kg CO2-eq)</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887754000"/>
        <c:crosses val="autoZero"/>
        <c:crossBetween val="between"/>
      </c:valAx>
      <c:spPr>
        <a:solidFill>
          <a:srgbClr val="FFFFFF"/>
        </a:solidFill>
        <a:ln>
          <a:solidFill>
            <a:srgbClr val="D9D9D9"/>
          </a:solidFill>
        </a:ln>
        <a:effectLst/>
      </c:spPr>
    </c:plotArea>
    <c:legend>
      <c:legendPos val="b"/>
      <c:layout>
        <c:manualLayout>
          <c:xMode val="edge"/>
          <c:yMode val="edge"/>
          <c:x val="8.9272934376569954E-2"/>
          <c:y val="0.74597843532212371"/>
          <c:w val="0.8138731900458116"/>
          <c:h val="0.24854960845352611"/>
        </c:manualLayout>
      </c:layout>
      <c:overlay val="0"/>
      <c:spPr>
        <a:solidFill>
          <a:srgbClr val="FFFFFF"/>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legend>
    <c:plotVisOnly val="1"/>
    <c:dispBlanksAs val="gap"/>
    <c:showDLblsOverMax val="0"/>
  </c:chart>
  <c:spPr>
    <a:solidFill>
      <a:srgbClr val="FFFFFF"/>
    </a:solidFill>
    <a:ln w="6350" cap="flat" cmpd="sng" algn="ctr">
      <a:solidFill>
        <a:srgbClr val="009DD8"/>
      </a:solid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sz="900"/>
              <a:t>Methode B</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barChart>
        <c:barDir val="bar"/>
        <c:grouping val="clustered"/>
        <c:varyColors val="0"/>
        <c:ser>
          <c:idx val="0"/>
          <c:order val="0"/>
          <c:spPr>
            <a:solidFill>
              <a:srgbClr val="009DD8"/>
            </a:solidFill>
            <a:ln>
              <a:noFill/>
            </a:ln>
            <a:effectLst/>
          </c:spPr>
          <c:invertIfNegative val="0"/>
          <c:cat>
            <c:numRef>
              <c:f>Kengetallen!$G$128</c:f>
              <c:numCache>
                <c:formatCode>General</c:formatCode>
                <c:ptCount val="1"/>
              </c:numCache>
            </c:numRef>
          </c:cat>
          <c:val>
            <c:numRef>
              <c:f>Kengetallen!$D$98</c:f>
              <c:numCache>
                <c:formatCode>0</c:formatCode>
                <c:ptCount val="1"/>
                <c:pt idx="0">
                  <c:v>0</c:v>
                </c:pt>
              </c:numCache>
            </c:numRef>
          </c:val>
          <c:extLst>
            <c:ext xmlns:c16="http://schemas.microsoft.com/office/drawing/2014/chart" uri="{C3380CC4-5D6E-409C-BE32-E72D297353CC}">
              <c16:uniqueId val="{00000000-D945-43A9-9BD6-69409DF84937}"/>
            </c:ext>
          </c:extLst>
        </c:ser>
        <c:ser>
          <c:idx val="1"/>
          <c:order val="1"/>
          <c:spPr>
            <a:solidFill>
              <a:srgbClr val="8DD3FF"/>
            </a:solidFill>
            <a:ln>
              <a:noFill/>
            </a:ln>
            <a:effectLst/>
          </c:spPr>
          <c:invertIfNegative val="0"/>
          <c:cat>
            <c:numRef>
              <c:f>Kengetallen!$G$128</c:f>
              <c:numCache>
                <c:formatCode>General</c:formatCode>
                <c:ptCount val="1"/>
              </c:numCache>
            </c:numRef>
          </c:cat>
          <c:val>
            <c:numRef>
              <c:f>Kengetallen!$D$100</c:f>
              <c:numCache>
                <c:formatCode>0</c:formatCode>
                <c:ptCount val="1"/>
                <c:pt idx="0">
                  <c:v>0</c:v>
                </c:pt>
              </c:numCache>
            </c:numRef>
          </c:val>
          <c:extLst>
            <c:ext xmlns:c16="http://schemas.microsoft.com/office/drawing/2014/chart" uri="{C3380CC4-5D6E-409C-BE32-E72D297353CC}">
              <c16:uniqueId val="{00000001-D945-43A9-9BD6-69409DF84937}"/>
            </c:ext>
          </c:extLst>
        </c:ser>
        <c:ser>
          <c:idx val="2"/>
          <c:order val="2"/>
          <c:spPr>
            <a:solidFill>
              <a:srgbClr val="FFDB00"/>
            </a:solidFill>
            <a:ln>
              <a:noFill/>
            </a:ln>
            <a:effectLst/>
          </c:spPr>
          <c:invertIfNegative val="0"/>
          <c:cat>
            <c:numRef>
              <c:f>Kengetallen!$G$128</c:f>
              <c:numCache>
                <c:formatCode>General</c:formatCode>
                <c:ptCount val="1"/>
              </c:numCache>
            </c:numRef>
          </c:cat>
          <c:val>
            <c:numRef>
              <c:f>Kengetallen!$D$101</c:f>
              <c:numCache>
                <c:formatCode>0</c:formatCode>
                <c:ptCount val="1"/>
                <c:pt idx="0">
                  <c:v>0</c:v>
                </c:pt>
              </c:numCache>
            </c:numRef>
          </c:val>
          <c:extLst>
            <c:ext xmlns:c16="http://schemas.microsoft.com/office/drawing/2014/chart" uri="{C3380CC4-5D6E-409C-BE32-E72D297353CC}">
              <c16:uniqueId val="{00000002-D945-43A9-9BD6-69409DF84937}"/>
            </c:ext>
          </c:extLst>
        </c:ser>
        <c:ser>
          <c:idx val="3"/>
          <c:order val="3"/>
          <c:spPr>
            <a:solidFill>
              <a:srgbClr val="009133"/>
            </a:solidFill>
            <a:ln>
              <a:noFill/>
            </a:ln>
            <a:effectLst/>
          </c:spPr>
          <c:invertIfNegative val="0"/>
          <c:cat>
            <c:numRef>
              <c:f>Kengetallen!$G$128</c:f>
              <c:numCache>
                <c:formatCode>General</c:formatCode>
                <c:ptCount val="1"/>
              </c:numCache>
            </c:numRef>
          </c:cat>
          <c:val>
            <c:numRef>
              <c:f>Kengetallen!$D$102</c:f>
              <c:numCache>
                <c:formatCode>0</c:formatCode>
                <c:ptCount val="1"/>
                <c:pt idx="0">
                  <c:v>0</c:v>
                </c:pt>
              </c:numCache>
            </c:numRef>
          </c:val>
          <c:extLst>
            <c:ext xmlns:c16="http://schemas.microsoft.com/office/drawing/2014/chart" uri="{C3380CC4-5D6E-409C-BE32-E72D297353CC}">
              <c16:uniqueId val="{00000003-D945-43A9-9BD6-69409DF84937}"/>
            </c:ext>
          </c:extLst>
        </c:ser>
        <c:ser>
          <c:idx val="4"/>
          <c:order val="4"/>
          <c:spPr>
            <a:solidFill>
              <a:srgbClr val="70C82F"/>
            </a:solidFill>
            <a:ln>
              <a:noFill/>
            </a:ln>
            <a:effectLst/>
          </c:spPr>
          <c:invertIfNegative val="0"/>
          <c:cat>
            <c:numRef>
              <c:f>Kengetallen!$G$128</c:f>
              <c:numCache>
                <c:formatCode>General</c:formatCode>
                <c:ptCount val="1"/>
              </c:numCache>
            </c:numRef>
          </c:cat>
          <c:val>
            <c:numRef>
              <c:f>Kengetallen!$D$103</c:f>
              <c:numCache>
                <c:formatCode>0</c:formatCode>
                <c:ptCount val="1"/>
                <c:pt idx="0">
                  <c:v>0</c:v>
                </c:pt>
              </c:numCache>
            </c:numRef>
          </c:val>
          <c:extLst>
            <c:ext xmlns:c16="http://schemas.microsoft.com/office/drawing/2014/chart" uri="{C3380CC4-5D6E-409C-BE32-E72D297353CC}">
              <c16:uniqueId val="{00000004-D945-43A9-9BD6-69409DF84937}"/>
            </c:ext>
          </c:extLst>
        </c:ser>
        <c:ser>
          <c:idx val="5"/>
          <c:order val="5"/>
          <c:spPr>
            <a:solidFill>
              <a:srgbClr val="344893"/>
            </a:solidFill>
            <a:ln>
              <a:noFill/>
            </a:ln>
            <a:effectLst/>
          </c:spPr>
          <c:invertIfNegative val="0"/>
          <c:cat>
            <c:numRef>
              <c:f>Kengetallen!$G$128</c:f>
              <c:numCache>
                <c:formatCode>General</c:formatCode>
                <c:ptCount val="1"/>
              </c:numCache>
            </c:numRef>
          </c:cat>
          <c:val>
            <c:numRef>
              <c:f>Kengetallen!$D$104</c:f>
              <c:numCache>
                <c:formatCode>0</c:formatCode>
                <c:ptCount val="1"/>
                <c:pt idx="0">
                  <c:v>0</c:v>
                </c:pt>
              </c:numCache>
            </c:numRef>
          </c:val>
          <c:extLst>
            <c:ext xmlns:c16="http://schemas.microsoft.com/office/drawing/2014/chart" uri="{C3380CC4-5D6E-409C-BE32-E72D297353CC}">
              <c16:uniqueId val="{00000005-D945-43A9-9BD6-69409DF84937}"/>
            </c:ext>
          </c:extLst>
        </c:ser>
        <c:ser>
          <c:idx val="6"/>
          <c:order val="6"/>
          <c:spPr>
            <a:solidFill>
              <a:srgbClr val="F79646"/>
            </a:solidFill>
            <a:ln>
              <a:noFill/>
            </a:ln>
            <a:effectLst/>
          </c:spPr>
          <c:invertIfNegative val="0"/>
          <c:cat>
            <c:numRef>
              <c:f>Kengetallen!$G$128</c:f>
              <c:numCache>
                <c:formatCode>General</c:formatCode>
                <c:ptCount val="1"/>
              </c:numCache>
            </c:numRef>
          </c:cat>
          <c:val>
            <c:numRef>
              <c:f>Kengetallen!$D$105</c:f>
              <c:numCache>
                <c:formatCode>0</c:formatCode>
                <c:ptCount val="1"/>
                <c:pt idx="0">
                  <c:v>0</c:v>
                </c:pt>
              </c:numCache>
            </c:numRef>
          </c:val>
          <c:extLst>
            <c:ext xmlns:c16="http://schemas.microsoft.com/office/drawing/2014/chart" uri="{C3380CC4-5D6E-409C-BE32-E72D297353CC}">
              <c16:uniqueId val="{00000006-D945-43A9-9BD6-69409DF84937}"/>
            </c:ext>
          </c:extLst>
        </c:ser>
        <c:ser>
          <c:idx val="7"/>
          <c:order val="7"/>
          <c:spPr>
            <a:solidFill>
              <a:srgbClr val="FF0000"/>
            </a:solidFill>
            <a:ln>
              <a:noFill/>
            </a:ln>
            <a:effectLst/>
          </c:spPr>
          <c:invertIfNegative val="0"/>
          <c:cat>
            <c:numRef>
              <c:f>Kengetallen!$G$128</c:f>
              <c:numCache>
                <c:formatCode>General</c:formatCode>
                <c:ptCount val="1"/>
              </c:numCache>
            </c:numRef>
          </c:cat>
          <c:val>
            <c:numRef>
              <c:f>Kengetallen!$D$106</c:f>
              <c:numCache>
                <c:formatCode>0</c:formatCode>
                <c:ptCount val="1"/>
                <c:pt idx="0">
                  <c:v>0</c:v>
                </c:pt>
              </c:numCache>
            </c:numRef>
          </c:val>
          <c:extLst>
            <c:ext xmlns:c16="http://schemas.microsoft.com/office/drawing/2014/chart" uri="{C3380CC4-5D6E-409C-BE32-E72D297353CC}">
              <c16:uniqueId val="{00000007-D945-43A9-9BD6-69409DF84937}"/>
            </c:ext>
          </c:extLst>
        </c:ser>
        <c:ser>
          <c:idx val="8"/>
          <c:order val="8"/>
          <c:spPr>
            <a:solidFill>
              <a:srgbClr val="009C9E"/>
            </a:solidFill>
            <a:ln>
              <a:noFill/>
            </a:ln>
            <a:effectLst/>
          </c:spPr>
          <c:invertIfNegative val="0"/>
          <c:cat>
            <c:numRef>
              <c:f>Kengetallen!$G$128</c:f>
              <c:numCache>
                <c:formatCode>General</c:formatCode>
                <c:ptCount val="1"/>
              </c:numCache>
            </c:numRef>
          </c:cat>
          <c:val>
            <c:numRef>
              <c:f>Kengetallen!$D$107</c:f>
              <c:numCache>
                <c:formatCode>0</c:formatCode>
                <c:ptCount val="1"/>
                <c:pt idx="0">
                  <c:v>0</c:v>
                </c:pt>
              </c:numCache>
            </c:numRef>
          </c:val>
          <c:extLst>
            <c:ext xmlns:c16="http://schemas.microsoft.com/office/drawing/2014/chart" uri="{C3380CC4-5D6E-409C-BE32-E72D297353CC}">
              <c16:uniqueId val="{00000008-D945-43A9-9BD6-69409DF84937}"/>
            </c:ext>
          </c:extLst>
        </c:ser>
        <c:ser>
          <c:idx val="9"/>
          <c:order val="9"/>
          <c:spPr>
            <a:solidFill>
              <a:srgbClr val="41C4B3"/>
            </a:solidFill>
            <a:ln>
              <a:noFill/>
            </a:ln>
            <a:effectLst/>
          </c:spPr>
          <c:invertIfNegative val="0"/>
          <c:cat>
            <c:numRef>
              <c:f>Kengetallen!$G$128</c:f>
              <c:numCache>
                <c:formatCode>General</c:formatCode>
                <c:ptCount val="1"/>
              </c:numCache>
            </c:numRef>
          </c:cat>
          <c:val>
            <c:numRef>
              <c:f>Kengetallen!$D$108</c:f>
              <c:numCache>
                <c:formatCode>0</c:formatCode>
                <c:ptCount val="1"/>
                <c:pt idx="0">
                  <c:v>0</c:v>
                </c:pt>
              </c:numCache>
            </c:numRef>
          </c:val>
          <c:extLst>
            <c:ext xmlns:c16="http://schemas.microsoft.com/office/drawing/2014/chart" uri="{C3380CC4-5D6E-409C-BE32-E72D297353CC}">
              <c16:uniqueId val="{00000009-D945-43A9-9BD6-69409DF84937}"/>
            </c:ext>
          </c:extLst>
        </c:ser>
        <c:ser>
          <c:idx val="10"/>
          <c:order val="10"/>
          <c:spPr>
            <a:solidFill>
              <a:srgbClr val="F27221"/>
            </a:solidFill>
            <a:ln>
              <a:noFill/>
            </a:ln>
            <a:effectLst/>
          </c:spPr>
          <c:invertIfNegative val="0"/>
          <c:cat>
            <c:numRef>
              <c:f>Kengetallen!$G$128</c:f>
              <c:numCache>
                <c:formatCode>General</c:formatCode>
                <c:ptCount val="1"/>
              </c:numCache>
            </c:numRef>
          </c:cat>
          <c:val>
            <c:numRef>
              <c:f>Kengetallen!$D$109</c:f>
              <c:numCache>
                <c:formatCode>0</c:formatCode>
                <c:ptCount val="1"/>
                <c:pt idx="0">
                  <c:v>0</c:v>
                </c:pt>
              </c:numCache>
            </c:numRef>
          </c:val>
          <c:extLst>
            <c:ext xmlns:c16="http://schemas.microsoft.com/office/drawing/2014/chart" uri="{C3380CC4-5D6E-409C-BE32-E72D297353CC}">
              <c16:uniqueId val="{0000000A-D945-43A9-9BD6-69409DF84937}"/>
            </c:ext>
          </c:extLst>
        </c:ser>
        <c:ser>
          <c:idx val="11"/>
          <c:order val="11"/>
          <c:spPr>
            <a:solidFill>
              <a:schemeClr val="accent6">
                <a:lumMod val="60000"/>
              </a:schemeClr>
            </a:solidFill>
            <a:ln>
              <a:noFill/>
            </a:ln>
            <a:effectLst/>
          </c:spPr>
          <c:invertIfNegative val="0"/>
          <c:cat>
            <c:numRef>
              <c:f>Kengetallen!$G$128</c:f>
              <c:numCache>
                <c:formatCode>General</c:formatCode>
                <c:ptCount val="1"/>
              </c:numCache>
            </c:numRef>
          </c:cat>
          <c:val>
            <c:numRef>
              <c:f>Kengetallen!$D$110</c:f>
              <c:numCache>
                <c:formatCode>0</c:formatCode>
                <c:ptCount val="1"/>
                <c:pt idx="0">
                  <c:v>0</c:v>
                </c:pt>
              </c:numCache>
            </c:numRef>
          </c:val>
          <c:extLst>
            <c:ext xmlns:c16="http://schemas.microsoft.com/office/drawing/2014/chart" uri="{C3380CC4-5D6E-409C-BE32-E72D297353CC}">
              <c16:uniqueId val="{0000000B-D945-43A9-9BD6-69409DF84937}"/>
            </c:ext>
          </c:extLst>
        </c:ser>
        <c:ser>
          <c:idx val="12"/>
          <c:order val="12"/>
          <c:spPr>
            <a:solidFill>
              <a:schemeClr val="accent1">
                <a:lumMod val="80000"/>
                <a:lumOff val="20000"/>
              </a:schemeClr>
            </a:solidFill>
            <a:ln>
              <a:noFill/>
            </a:ln>
            <a:effectLst/>
          </c:spPr>
          <c:invertIfNegative val="0"/>
          <c:cat>
            <c:numRef>
              <c:f>Kengetallen!$G$128</c:f>
              <c:numCache>
                <c:formatCode>General</c:formatCode>
                <c:ptCount val="1"/>
              </c:numCache>
            </c:numRef>
          </c:cat>
          <c:val>
            <c:numRef>
              <c:f>Kengetallen!$D$111</c:f>
              <c:numCache>
                <c:formatCode>0</c:formatCode>
                <c:ptCount val="1"/>
                <c:pt idx="0">
                  <c:v>0</c:v>
                </c:pt>
              </c:numCache>
            </c:numRef>
          </c:val>
          <c:extLst>
            <c:ext xmlns:c16="http://schemas.microsoft.com/office/drawing/2014/chart" uri="{C3380CC4-5D6E-409C-BE32-E72D297353CC}">
              <c16:uniqueId val="{0000000C-D945-43A9-9BD6-69409DF84937}"/>
            </c:ext>
          </c:extLst>
        </c:ser>
        <c:ser>
          <c:idx val="13"/>
          <c:order val="13"/>
          <c:spPr>
            <a:solidFill>
              <a:schemeClr val="accent2">
                <a:lumMod val="80000"/>
                <a:lumOff val="20000"/>
              </a:schemeClr>
            </a:solidFill>
            <a:ln>
              <a:noFill/>
            </a:ln>
            <a:effectLst/>
          </c:spPr>
          <c:invertIfNegative val="0"/>
          <c:cat>
            <c:numRef>
              <c:f>Kengetallen!$G$128</c:f>
              <c:numCache>
                <c:formatCode>General</c:formatCode>
                <c:ptCount val="1"/>
              </c:numCache>
            </c:numRef>
          </c:cat>
          <c:val>
            <c:numRef>
              <c:f>Kengetallen!$D$112</c:f>
              <c:numCache>
                <c:formatCode>0</c:formatCode>
                <c:ptCount val="1"/>
                <c:pt idx="0">
                  <c:v>0</c:v>
                </c:pt>
              </c:numCache>
            </c:numRef>
          </c:val>
          <c:extLst>
            <c:ext xmlns:c16="http://schemas.microsoft.com/office/drawing/2014/chart" uri="{C3380CC4-5D6E-409C-BE32-E72D297353CC}">
              <c16:uniqueId val="{0000000D-D945-43A9-9BD6-69409DF84937}"/>
            </c:ext>
          </c:extLst>
        </c:ser>
        <c:dLbls>
          <c:showLegendKey val="0"/>
          <c:showVal val="0"/>
          <c:showCatName val="0"/>
          <c:showSerName val="0"/>
          <c:showPercent val="0"/>
          <c:showBubbleSize val="0"/>
        </c:dLbls>
        <c:gapWidth val="182"/>
        <c:axId val="583278232"/>
        <c:axId val="583280528"/>
      </c:barChart>
      <c:catAx>
        <c:axId val="583278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80528"/>
        <c:crosses val="autoZero"/>
        <c:auto val="1"/>
        <c:lblAlgn val="ctr"/>
        <c:lblOffset val="100"/>
        <c:noMultiLvlLbl val="0"/>
      </c:catAx>
      <c:valAx>
        <c:axId val="583280528"/>
        <c:scaling>
          <c:orientation val="minMax"/>
        </c:scaling>
        <c:delete val="0"/>
        <c:axPos val="b"/>
        <c:majorGridlines>
          <c:spPr>
            <a:ln w="9525" cap="flat" cmpd="sng" algn="ctr">
              <a:solidFill>
                <a:srgbClr val="D9D9D9"/>
              </a:solidFill>
              <a:prstDash val="solid"/>
              <a:round/>
              <a:headEnd type="none" w="med" len="med"/>
              <a:tailEnd type="none" w="med" len="me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(kg CO2-eq)</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78232"/>
        <c:crosses val="autoZero"/>
        <c:crossBetween val="between"/>
      </c:valAx>
      <c:spPr>
        <a:solidFill>
          <a:srgbClr val="FFFFFF"/>
        </a:solidFill>
        <a:ln>
          <a:solidFill>
            <a:srgbClr val="D9D9D9"/>
          </a:solidFill>
        </a:ln>
        <a:effectLst/>
      </c:spPr>
    </c:plotArea>
    <c:plotVisOnly val="1"/>
    <c:dispBlanksAs val="gap"/>
    <c:showDLblsOverMax val="0"/>
  </c:chart>
  <c:spPr>
    <a:solidFill>
      <a:srgbClr val="FFFFFF"/>
    </a:solidFill>
    <a:ln w="6350" cap="flat" cmpd="sng" algn="ctr">
      <a:solidFill>
        <a:srgbClr val="009DD8"/>
      </a:solid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sz="900"/>
              <a:t>Methode B</a:t>
            </a:r>
          </a:p>
        </c:rich>
      </c:tx>
      <c:layout>
        <c:manualLayout>
          <c:xMode val="edge"/>
          <c:yMode val="edge"/>
          <c:x val="0.3927691206431364"/>
          <c:y val="0"/>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7.0852926600958099E-2"/>
          <c:y val="5.6969696969696969E-2"/>
          <c:w val="0.87211232861626575"/>
          <c:h val="0.81338105464089716"/>
        </c:manualLayout>
      </c:layout>
      <c:barChart>
        <c:barDir val="bar"/>
        <c:grouping val="clustered"/>
        <c:varyColors val="0"/>
        <c:ser>
          <c:idx val="0"/>
          <c:order val="0"/>
          <c:spPr>
            <a:solidFill>
              <a:schemeClr val="accent1"/>
            </a:solidFill>
            <a:ln>
              <a:noFill/>
            </a:ln>
            <a:effectLst/>
          </c:spPr>
          <c:invertIfNegative val="0"/>
          <c:cat>
            <c:numRef>
              <c:f>Kengetallen!$G$128</c:f>
              <c:numCache>
                <c:formatCode>General</c:formatCode>
                <c:ptCount val="1"/>
              </c:numCache>
            </c:numRef>
          </c:cat>
          <c:val>
            <c:numRef>
              <c:f>Kengetallen!$F$98</c:f>
              <c:numCache>
                <c:formatCode>0.0</c:formatCode>
                <c:ptCount val="1"/>
                <c:pt idx="0">
                  <c:v>0</c:v>
                </c:pt>
              </c:numCache>
            </c:numRef>
          </c:val>
          <c:extLst>
            <c:ext xmlns:c16="http://schemas.microsoft.com/office/drawing/2014/chart" uri="{C3380CC4-5D6E-409C-BE32-E72D297353CC}">
              <c16:uniqueId val="{00000000-9B8A-499C-873D-14FFB48A16C0}"/>
            </c:ext>
          </c:extLst>
        </c:ser>
        <c:ser>
          <c:idx val="1"/>
          <c:order val="1"/>
          <c:spPr>
            <a:solidFill>
              <a:schemeClr val="accent2"/>
            </a:solidFill>
            <a:ln>
              <a:noFill/>
            </a:ln>
            <a:effectLst/>
          </c:spPr>
          <c:invertIfNegative val="0"/>
          <c:cat>
            <c:numRef>
              <c:f>Kengetallen!$G$128</c:f>
              <c:numCache>
                <c:formatCode>General</c:formatCode>
                <c:ptCount val="1"/>
              </c:numCache>
            </c:numRef>
          </c:cat>
          <c:val>
            <c:numRef>
              <c:f>Kengetallen!$F$100</c:f>
              <c:numCache>
                <c:formatCode>0.0</c:formatCode>
                <c:ptCount val="1"/>
                <c:pt idx="0">
                  <c:v>0</c:v>
                </c:pt>
              </c:numCache>
            </c:numRef>
          </c:val>
          <c:extLst>
            <c:ext xmlns:c16="http://schemas.microsoft.com/office/drawing/2014/chart" uri="{C3380CC4-5D6E-409C-BE32-E72D297353CC}">
              <c16:uniqueId val="{00000001-9B8A-499C-873D-14FFB48A16C0}"/>
            </c:ext>
          </c:extLst>
        </c:ser>
        <c:ser>
          <c:idx val="2"/>
          <c:order val="2"/>
          <c:spPr>
            <a:solidFill>
              <a:schemeClr val="accent3"/>
            </a:solidFill>
            <a:ln>
              <a:noFill/>
            </a:ln>
            <a:effectLst/>
          </c:spPr>
          <c:invertIfNegative val="0"/>
          <c:cat>
            <c:numRef>
              <c:f>Kengetallen!$G$128</c:f>
              <c:numCache>
                <c:formatCode>General</c:formatCode>
                <c:ptCount val="1"/>
              </c:numCache>
            </c:numRef>
          </c:cat>
          <c:val>
            <c:numRef>
              <c:f>Kengetallen!$F$101</c:f>
              <c:numCache>
                <c:formatCode>0.0</c:formatCode>
                <c:ptCount val="1"/>
                <c:pt idx="0">
                  <c:v>0</c:v>
                </c:pt>
              </c:numCache>
            </c:numRef>
          </c:val>
          <c:extLst>
            <c:ext xmlns:c16="http://schemas.microsoft.com/office/drawing/2014/chart" uri="{C3380CC4-5D6E-409C-BE32-E72D297353CC}">
              <c16:uniqueId val="{00000002-9B8A-499C-873D-14FFB48A16C0}"/>
            </c:ext>
          </c:extLst>
        </c:ser>
        <c:ser>
          <c:idx val="3"/>
          <c:order val="3"/>
          <c:spPr>
            <a:solidFill>
              <a:schemeClr val="accent4"/>
            </a:solidFill>
            <a:ln>
              <a:noFill/>
            </a:ln>
            <a:effectLst/>
          </c:spPr>
          <c:invertIfNegative val="0"/>
          <c:cat>
            <c:numRef>
              <c:f>Kengetallen!$G$128</c:f>
              <c:numCache>
                <c:formatCode>General</c:formatCode>
                <c:ptCount val="1"/>
              </c:numCache>
            </c:numRef>
          </c:cat>
          <c:val>
            <c:numRef>
              <c:f>Kengetallen!$F$102</c:f>
              <c:numCache>
                <c:formatCode>0.0</c:formatCode>
                <c:ptCount val="1"/>
                <c:pt idx="0">
                  <c:v>0</c:v>
                </c:pt>
              </c:numCache>
            </c:numRef>
          </c:val>
          <c:extLst>
            <c:ext xmlns:c16="http://schemas.microsoft.com/office/drawing/2014/chart" uri="{C3380CC4-5D6E-409C-BE32-E72D297353CC}">
              <c16:uniqueId val="{00000003-9B8A-499C-873D-14FFB48A16C0}"/>
            </c:ext>
          </c:extLst>
        </c:ser>
        <c:ser>
          <c:idx val="4"/>
          <c:order val="4"/>
          <c:spPr>
            <a:solidFill>
              <a:schemeClr val="accent5"/>
            </a:solidFill>
            <a:ln>
              <a:noFill/>
            </a:ln>
            <a:effectLst/>
          </c:spPr>
          <c:invertIfNegative val="0"/>
          <c:cat>
            <c:numRef>
              <c:f>Kengetallen!$G$128</c:f>
              <c:numCache>
                <c:formatCode>General</c:formatCode>
                <c:ptCount val="1"/>
              </c:numCache>
            </c:numRef>
          </c:cat>
          <c:val>
            <c:numRef>
              <c:f>Kengetallen!$F$103</c:f>
              <c:numCache>
                <c:formatCode>0.0</c:formatCode>
                <c:ptCount val="1"/>
                <c:pt idx="0">
                  <c:v>0</c:v>
                </c:pt>
              </c:numCache>
            </c:numRef>
          </c:val>
          <c:extLst>
            <c:ext xmlns:c16="http://schemas.microsoft.com/office/drawing/2014/chart" uri="{C3380CC4-5D6E-409C-BE32-E72D297353CC}">
              <c16:uniqueId val="{00000004-9B8A-499C-873D-14FFB48A16C0}"/>
            </c:ext>
          </c:extLst>
        </c:ser>
        <c:ser>
          <c:idx val="5"/>
          <c:order val="5"/>
          <c:spPr>
            <a:solidFill>
              <a:schemeClr val="accent6"/>
            </a:solidFill>
            <a:ln>
              <a:noFill/>
            </a:ln>
            <a:effectLst/>
          </c:spPr>
          <c:invertIfNegative val="0"/>
          <c:cat>
            <c:numRef>
              <c:f>Kengetallen!$G$128</c:f>
              <c:numCache>
                <c:formatCode>General</c:formatCode>
                <c:ptCount val="1"/>
              </c:numCache>
            </c:numRef>
          </c:cat>
          <c:val>
            <c:numRef>
              <c:f>Kengetallen!$F$104</c:f>
              <c:numCache>
                <c:formatCode>0.0</c:formatCode>
                <c:ptCount val="1"/>
                <c:pt idx="0">
                  <c:v>0</c:v>
                </c:pt>
              </c:numCache>
            </c:numRef>
          </c:val>
          <c:extLst>
            <c:ext xmlns:c16="http://schemas.microsoft.com/office/drawing/2014/chart" uri="{C3380CC4-5D6E-409C-BE32-E72D297353CC}">
              <c16:uniqueId val="{00000005-9B8A-499C-873D-14FFB48A16C0}"/>
            </c:ext>
          </c:extLst>
        </c:ser>
        <c:ser>
          <c:idx val="6"/>
          <c:order val="6"/>
          <c:spPr>
            <a:solidFill>
              <a:schemeClr val="accent1">
                <a:lumMod val="60000"/>
              </a:schemeClr>
            </a:solidFill>
            <a:ln>
              <a:noFill/>
            </a:ln>
            <a:effectLst/>
          </c:spPr>
          <c:invertIfNegative val="0"/>
          <c:cat>
            <c:numRef>
              <c:f>Kengetallen!$G$128</c:f>
              <c:numCache>
                <c:formatCode>General</c:formatCode>
                <c:ptCount val="1"/>
              </c:numCache>
            </c:numRef>
          </c:cat>
          <c:val>
            <c:numRef>
              <c:f>Kengetallen!$F$105</c:f>
              <c:numCache>
                <c:formatCode>0.0</c:formatCode>
                <c:ptCount val="1"/>
                <c:pt idx="0">
                  <c:v>0</c:v>
                </c:pt>
              </c:numCache>
            </c:numRef>
          </c:val>
          <c:extLst>
            <c:ext xmlns:c16="http://schemas.microsoft.com/office/drawing/2014/chart" uri="{C3380CC4-5D6E-409C-BE32-E72D297353CC}">
              <c16:uniqueId val="{00000006-9B8A-499C-873D-14FFB48A16C0}"/>
            </c:ext>
          </c:extLst>
        </c:ser>
        <c:ser>
          <c:idx val="7"/>
          <c:order val="7"/>
          <c:spPr>
            <a:solidFill>
              <a:schemeClr val="accent2">
                <a:lumMod val="60000"/>
              </a:schemeClr>
            </a:solidFill>
            <a:ln>
              <a:noFill/>
            </a:ln>
            <a:effectLst/>
          </c:spPr>
          <c:invertIfNegative val="0"/>
          <c:cat>
            <c:numRef>
              <c:f>Kengetallen!$G$128</c:f>
              <c:numCache>
                <c:formatCode>General</c:formatCode>
                <c:ptCount val="1"/>
              </c:numCache>
            </c:numRef>
          </c:cat>
          <c:val>
            <c:numRef>
              <c:f>Kengetallen!$F$106</c:f>
              <c:numCache>
                <c:formatCode>0.0</c:formatCode>
                <c:ptCount val="1"/>
                <c:pt idx="0">
                  <c:v>0</c:v>
                </c:pt>
              </c:numCache>
            </c:numRef>
          </c:val>
          <c:extLst>
            <c:ext xmlns:c16="http://schemas.microsoft.com/office/drawing/2014/chart" uri="{C3380CC4-5D6E-409C-BE32-E72D297353CC}">
              <c16:uniqueId val="{00000007-9B8A-499C-873D-14FFB48A16C0}"/>
            </c:ext>
          </c:extLst>
        </c:ser>
        <c:ser>
          <c:idx val="8"/>
          <c:order val="8"/>
          <c:spPr>
            <a:solidFill>
              <a:schemeClr val="accent3">
                <a:lumMod val="60000"/>
              </a:schemeClr>
            </a:solidFill>
            <a:ln>
              <a:noFill/>
            </a:ln>
            <a:effectLst/>
          </c:spPr>
          <c:invertIfNegative val="0"/>
          <c:cat>
            <c:numRef>
              <c:f>Kengetallen!$G$128</c:f>
              <c:numCache>
                <c:formatCode>General</c:formatCode>
                <c:ptCount val="1"/>
              </c:numCache>
            </c:numRef>
          </c:cat>
          <c:val>
            <c:numRef>
              <c:f>Kengetallen!$F$107</c:f>
              <c:numCache>
                <c:formatCode>0.0</c:formatCode>
                <c:ptCount val="1"/>
                <c:pt idx="0">
                  <c:v>0</c:v>
                </c:pt>
              </c:numCache>
            </c:numRef>
          </c:val>
          <c:extLst>
            <c:ext xmlns:c16="http://schemas.microsoft.com/office/drawing/2014/chart" uri="{C3380CC4-5D6E-409C-BE32-E72D297353CC}">
              <c16:uniqueId val="{00000008-9B8A-499C-873D-14FFB48A16C0}"/>
            </c:ext>
          </c:extLst>
        </c:ser>
        <c:ser>
          <c:idx val="9"/>
          <c:order val="9"/>
          <c:spPr>
            <a:solidFill>
              <a:schemeClr val="accent4">
                <a:lumMod val="60000"/>
              </a:schemeClr>
            </a:solidFill>
            <a:ln>
              <a:noFill/>
            </a:ln>
            <a:effectLst/>
          </c:spPr>
          <c:invertIfNegative val="0"/>
          <c:cat>
            <c:numRef>
              <c:f>Kengetallen!$G$128</c:f>
              <c:numCache>
                <c:formatCode>General</c:formatCode>
                <c:ptCount val="1"/>
              </c:numCache>
            </c:numRef>
          </c:cat>
          <c:val>
            <c:numRef>
              <c:f>Kengetallen!$F$108</c:f>
              <c:numCache>
                <c:formatCode>0.0</c:formatCode>
                <c:ptCount val="1"/>
                <c:pt idx="0">
                  <c:v>0</c:v>
                </c:pt>
              </c:numCache>
            </c:numRef>
          </c:val>
          <c:extLst>
            <c:ext xmlns:c16="http://schemas.microsoft.com/office/drawing/2014/chart" uri="{C3380CC4-5D6E-409C-BE32-E72D297353CC}">
              <c16:uniqueId val="{00000009-9B8A-499C-873D-14FFB48A16C0}"/>
            </c:ext>
          </c:extLst>
        </c:ser>
        <c:ser>
          <c:idx val="10"/>
          <c:order val="10"/>
          <c:spPr>
            <a:solidFill>
              <a:schemeClr val="accent5">
                <a:lumMod val="60000"/>
              </a:schemeClr>
            </a:solidFill>
            <a:ln>
              <a:noFill/>
            </a:ln>
            <a:effectLst/>
          </c:spPr>
          <c:invertIfNegative val="0"/>
          <c:cat>
            <c:numRef>
              <c:f>Kengetallen!$G$128</c:f>
              <c:numCache>
                <c:formatCode>General</c:formatCode>
                <c:ptCount val="1"/>
              </c:numCache>
            </c:numRef>
          </c:cat>
          <c:val>
            <c:numRef>
              <c:f>Kengetallen!$F$109</c:f>
              <c:numCache>
                <c:formatCode>0.0</c:formatCode>
                <c:ptCount val="1"/>
                <c:pt idx="0">
                  <c:v>0</c:v>
                </c:pt>
              </c:numCache>
            </c:numRef>
          </c:val>
          <c:extLst>
            <c:ext xmlns:c16="http://schemas.microsoft.com/office/drawing/2014/chart" uri="{C3380CC4-5D6E-409C-BE32-E72D297353CC}">
              <c16:uniqueId val="{0000000A-9B8A-499C-873D-14FFB48A16C0}"/>
            </c:ext>
          </c:extLst>
        </c:ser>
        <c:ser>
          <c:idx val="11"/>
          <c:order val="11"/>
          <c:spPr>
            <a:solidFill>
              <a:schemeClr val="accent6">
                <a:lumMod val="60000"/>
              </a:schemeClr>
            </a:solidFill>
            <a:ln>
              <a:noFill/>
            </a:ln>
            <a:effectLst/>
          </c:spPr>
          <c:invertIfNegative val="0"/>
          <c:cat>
            <c:numRef>
              <c:f>Kengetallen!$G$128</c:f>
              <c:numCache>
                <c:formatCode>General</c:formatCode>
                <c:ptCount val="1"/>
              </c:numCache>
            </c:numRef>
          </c:cat>
          <c:val>
            <c:numRef>
              <c:f>Kengetallen!$F$110</c:f>
              <c:numCache>
                <c:formatCode>0.0</c:formatCode>
                <c:ptCount val="1"/>
                <c:pt idx="0">
                  <c:v>0</c:v>
                </c:pt>
              </c:numCache>
            </c:numRef>
          </c:val>
          <c:extLst>
            <c:ext xmlns:c16="http://schemas.microsoft.com/office/drawing/2014/chart" uri="{C3380CC4-5D6E-409C-BE32-E72D297353CC}">
              <c16:uniqueId val="{0000000B-9B8A-499C-873D-14FFB48A16C0}"/>
            </c:ext>
          </c:extLst>
        </c:ser>
        <c:ser>
          <c:idx val="12"/>
          <c:order val="12"/>
          <c:spPr>
            <a:solidFill>
              <a:schemeClr val="accent1">
                <a:lumMod val="80000"/>
                <a:lumOff val="20000"/>
              </a:schemeClr>
            </a:solidFill>
            <a:ln>
              <a:noFill/>
            </a:ln>
            <a:effectLst/>
          </c:spPr>
          <c:invertIfNegative val="0"/>
          <c:cat>
            <c:numRef>
              <c:f>Kengetallen!$G$128</c:f>
              <c:numCache>
                <c:formatCode>General</c:formatCode>
                <c:ptCount val="1"/>
              </c:numCache>
            </c:numRef>
          </c:cat>
          <c:val>
            <c:numRef>
              <c:f>Kengetallen!$F$111</c:f>
              <c:numCache>
                <c:formatCode>0.0</c:formatCode>
                <c:ptCount val="1"/>
                <c:pt idx="0">
                  <c:v>0</c:v>
                </c:pt>
              </c:numCache>
            </c:numRef>
          </c:val>
          <c:extLst>
            <c:ext xmlns:c16="http://schemas.microsoft.com/office/drawing/2014/chart" uri="{C3380CC4-5D6E-409C-BE32-E72D297353CC}">
              <c16:uniqueId val="{0000000C-9B8A-499C-873D-14FFB48A16C0}"/>
            </c:ext>
          </c:extLst>
        </c:ser>
        <c:ser>
          <c:idx val="13"/>
          <c:order val="13"/>
          <c:spPr>
            <a:solidFill>
              <a:schemeClr val="accent2">
                <a:lumMod val="80000"/>
                <a:lumOff val="20000"/>
              </a:schemeClr>
            </a:solidFill>
            <a:ln>
              <a:noFill/>
            </a:ln>
            <a:effectLst/>
          </c:spPr>
          <c:invertIfNegative val="0"/>
          <c:cat>
            <c:numRef>
              <c:f>Kengetallen!$G$128</c:f>
              <c:numCache>
                <c:formatCode>General</c:formatCode>
                <c:ptCount val="1"/>
              </c:numCache>
            </c:numRef>
          </c:cat>
          <c:val>
            <c:numRef>
              <c:f>Kengetallen!$F$112</c:f>
              <c:numCache>
                <c:formatCode>0.0</c:formatCode>
                <c:ptCount val="1"/>
                <c:pt idx="0">
                  <c:v>0</c:v>
                </c:pt>
              </c:numCache>
            </c:numRef>
          </c:val>
          <c:extLst>
            <c:ext xmlns:c16="http://schemas.microsoft.com/office/drawing/2014/chart" uri="{C3380CC4-5D6E-409C-BE32-E72D297353CC}">
              <c16:uniqueId val="{0000000D-9B8A-499C-873D-14FFB48A16C0}"/>
            </c:ext>
          </c:extLst>
        </c:ser>
        <c:dLbls>
          <c:showLegendKey val="0"/>
          <c:showVal val="0"/>
          <c:showCatName val="0"/>
          <c:showSerName val="0"/>
          <c:showPercent val="0"/>
          <c:showBubbleSize val="0"/>
        </c:dLbls>
        <c:gapWidth val="182"/>
        <c:axId val="583278232"/>
        <c:axId val="583280528"/>
      </c:barChart>
      <c:catAx>
        <c:axId val="583278232"/>
        <c:scaling>
          <c:orientation val="minMax"/>
        </c:scaling>
        <c:delete val="0"/>
        <c:axPos val="l"/>
        <c:numFmt formatCode="General" sourceLinked="1"/>
        <c:majorTickMark val="none"/>
        <c:minorTickMark val="none"/>
        <c:tickLblPos val="nextTo"/>
        <c:spPr>
          <a:solidFill>
            <a:schemeClr val="tx1">
              <a:lumMod val="50000"/>
              <a:lumOff val="50000"/>
            </a:schemeClr>
          </a:solid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80528"/>
        <c:crosses val="autoZero"/>
        <c:auto val="1"/>
        <c:lblAlgn val="ctr"/>
        <c:lblOffset val="100"/>
        <c:noMultiLvlLbl val="0"/>
      </c:catAx>
      <c:valAx>
        <c:axId val="583280528"/>
        <c:scaling>
          <c:orientation val="minMax"/>
        </c:scaling>
        <c:delete val="0"/>
        <c:axPos val="b"/>
        <c:majorGridlines>
          <c:spPr>
            <a:ln w="9525" cap="flat" cmpd="sng" algn="ctr">
              <a:solidFill>
                <a:srgbClr val="D9D9D9"/>
              </a:solidFill>
              <a:prstDash val="solid"/>
              <a:round/>
              <a:headEnd type="none" w="med" len="med"/>
              <a:tailEnd type="none" w="med" len="me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(kg CO2-eq)</a:t>
                </a:r>
              </a:p>
            </c:rich>
          </c:tx>
          <c:layout>
            <c:manualLayout>
              <c:xMode val="edge"/>
              <c:yMode val="edge"/>
              <c:x val="0.21584582346787071"/>
              <c:y val="0.936968824018948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583278232"/>
        <c:crosses val="autoZero"/>
        <c:crossBetween val="between"/>
      </c:valAx>
      <c:spPr>
        <a:solidFill>
          <a:srgbClr val="FFFFFF"/>
        </a:solidFill>
        <a:ln>
          <a:solidFill>
            <a:srgbClr val="D9D9D9"/>
          </a:solidFill>
        </a:ln>
        <a:effectLst/>
      </c:spPr>
    </c:plotArea>
    <c:plotVisOnly val="1"/>
    <c:dispBlanksAs val="gap"/>
    <c:showDLblsOverMax val="0"/>
  </c:chart>
  <c:spPr>
    <a:solidFill>
      <a:srgbClr val="FFFFFF"/>
    </a:solidFill>
    <a:ln w="6350" cap="flat" cmpd="sng" algn="ctr">
      <a:no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r>
              <a:rPr lang="nl-NL"/>
              <a:t>Totale klimaatimpact verwerking groenafval</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Trebuchet MS"/>
              <a:ea typeface="Trebuchet MS"/>
              <a:cs typeface="Trebuchet MS"/>
            </a:defRPr>
          </a:pPr>
          <a:endParaRPr lang="nl-NL"/>
        </a:p>
      </c:txPr>
    </c:title>
    <c:autoTitleDeleted val="0"/>
    <c:plotArea>
      <c:layout>
        <c:manualLayout>
          <c:layoutTarget val="inner"/>
          <c:xMode val="edge"/>
          <c:yMode val="edge"/>
          <c:x val="0.12209224418448837"/>
          <c:y val="9.7712519319938171E-2"/>
          <c:w val="0.53442729107680442"/>
          <c:h val="0.86828438948995368"/>
        </c:manualLayout>
      </c:layout>
      <c:barChart>
        <c:barDir val="col"/>
        <c:grouping val="stacked"/>
        <c:varyColors val="0"/>
        <c:ser>
          <c:idx val="0"/>
          <c:order val="0"/>
          <c:tx>
            <c:strRef>
              <c:f>Kengetallen!$B$115</c:f>
              <c:strCache>
                <c:ptCount val="1"/>
                <c:pt idx="0">
                  <c:v>Transport (aanvoer)</c:v>
                </c:pt>
              </c:strCache>
            </c:strRef>
          </c:tx>
          <c:spPr>
            <a:solidFill>
              <a:schemeClr val="accent1"/>
            </a:solidFill>
            <a:ln>
              <a:noFill/>
            </a:ln>
            <a:effectLst/>
          </c:spPr>
          <c:invertIfNegative val="0"/>
          <c:cat>
            <c:numRef>
              <c:f>Kengetallen!$D$126</c:f>
              <c:numCache>
                <c:formatCode>General</c:formatCode>
                <c:ptCount val="1"/>
              </c:numCache>
            </c:numRef>
          </c:cat>
          <c:val>
            <c:numRef>
              <c:f>Kengetallen!$D$115</c:f>
              <c:numCache>
                <c:formatCode>0</c:formatCode>
                <c:ptCount val="1"/>
                <c:pt idx="0">
                  <c:v>0</c:v>
                </c:pt>
              </c:numCache>
            </c:numRef>
          </c:val>
          <c:extLst>
            <c:ext xmlns:c16="http://schemas.microsoft.com/office/drawing/2014/chart" uri="{C3380CC4-5D6E-409C-BE32-E72D297353CC}">
              <c16:uniqueId val="{00000000-7C0D-4FCD-B4DF-2DD9C90BD09E}"/>
            </c:ext>
          </c:extLst>
        </c:ser>
        <c:ser>
          <c:idx val="1"/>
          <c:order val="1"/>
          <c:tx>
            <c:strRef>
              <c:f>Kengetallen!$B$117</c:f>
              <c:strCache>
                <c:ptCount val="1"/>
                <c:pt idx="0">
                  <c:v>Energiegebruik inrichting</c:v>
                </c:pt>
              </c:strCache>
            </c:strRef>
          </c:tx>
          <c:spPr>
            <a:solidFill>
              <a:schemeClr val="accent2"/>
            </a:solidFill>
            <a:ln>
              <a:noFill/>
            </a:ln>
            <a:effectLst/>
          </c:spPr>
          <c:invertIfNegative val="0"/>
          <c:cat>
            <c:numRef>
              <c:f>Kengetallen!$D$126</c:f>
              <c:numCache>
                <c:formatCode>General</c:formatCode>
                <c:ptCount val="1"/>
              </c:numCache>
            </c:numRef>
          </c:cat>
          <c:val>
            <c:numRef>
              <c:f>Kengetallen!$D$117</c:f>
              <c:numCache>
                <c:formatCode>0</c:formatCode>
                <c:ptCount val="1"/>
                <c:pt idx="0">
                  <c:v>0</c:v>
                </c:pt>
              </c:numCache>
            </c:numRef>
          </c:val>
          <c:extLst>
            <c:ext xmlns:c16="http://schemas.microsoft.com/office/drawing/2014/chart" uri="{C3380CC4-5D6E-409C-BE32-E72D297353CC}">
              <c16:uniqueId val="{00000001-7C0D-4FCD-B4DF-2DD9C90BD09E}"/>
            </c:ext>
          </c:extLst>
        </c:ser>
        <c:ser>
          <c:idx val="2"/>
          <c:order val="2"/>
          <c:tx>
            <c:strRef>
              <c:f>Kengetallen!$B$118</c:f>
              <c:strCache>
                <c:ptCount val="1"/>
                <c:pt idx="0">
                  <c:v>Overig</c:v>
                </c:pt>
              </c:strCache>
            </c:strRef>
          </c:tx>
          <c:spPr>
            <a:solidFill>
              <a:schemeClr val="accent3"/>
            </a:solidFill>
            <a:ln>
              <a:noFill/>
            </a:ln>
            <a:effectLst/>
          </c:spPr>
          <c:invertIfNegative val="0"/>
          <c:cat>
            <c:numRef>
              <c:f>Kengetallen!$D$126</c:f>
              <c:numCache>
                <c:formatCode>General</c:formatCode>
                <c:ptCount val="1"/>
              </c:numCache>
            </c:numRef>
          </c:cat>
          <c:val>
            <c:numRef>
              <c:f>Kengetallen!$D$118</c:f>
              <c:numCache>
                <c:formatCode>0</c:formatCode>
                <c:ptCount val="1"/>
                <c:pt idx="0">
                  <c:v>0</c:v>
                </c:pt>
              </c:numCache>
            </c:numRef>
          </c:val>
          <c:extLst>
            <c:ext xmlns:c16="http://schemas.microsoft.com/office/drawing/2014/chart" uri="{C3380CC4-5D6E-409C-BE32-E72D297353CC}">
              <c16:uniqueId val="{00000002-7C0D-4FCD-B4DF-2DD9C90BD09E}"/>
            </c:ext>
          </c:extLst>
        </c:ser>
        <c:ser>
          <c:idx val="3"/>
          <c:order val="3"/>
          <c:tx>
            <c:strRef>
              <c:f>Kengetallen!$B$119</c:f>
              <c:strCache>
                <c:ptCount val="1"/>
                <c:pt idx="0">
                  <c:v>Kleine kringloop</c:v>
                </c:pt>
              </c:strCache>
            </c:strRef>
          </c:tx>
          <c:spPr>
            <a:solidFill>
              <a:schemeClr val="accent4"/>
            </a:solidFill>
            <a:ln>
              <a:noFill/>
            </a:ln>
            <a:effectLst/>
          </c:spPr>
          <c:invertIfNegative val="0"/>
          <c:cat>
            <c:numRef>
              <c:f>Kengetallen!$D$126</c:f>
              <c:numCache>
                <c:formatCode>General</c:formatCode>
                <c:ptCount val="1"/>
              </c:numCache>
            </c:numRef>
          </c:cat>
          <c:val>
            <c:numRef>
              <c:f>Kengetallen!$D$119</c:f>
              <c:numCache>
                <c:formatCode>0</c:formatCode>
                <c:ptCount val="1"/>
                <c:pt idx="0">
                  <c:v>0</c:v>
                </c:pt>
              </c:numCache>
            </c:numRef>
          </c:val>
          <c:extLst>
            <c:ext xmlns:c16="http://schemas.microsoft.com/office/drawing/2014/chart" uri="{C3380CC4-5D6E-409C-BE32-E72D297353CC}">
              <c16:uniqueId val="{00000003-7C0D-4FCD-B4DF-2DD9C90BD09E}"/>
            </c:ext>
          </c:extLst>
        </c:ser>
        <c:ser>
          <c:idx val="4"/>
          <c:order val="4"/>
          <c:tx>
            <c:strRef>
              <c:f>Kengetallen!$B$120</c:f>
              <c:strCache>
                <c:ptCount val="1"/>
                <c:pt idx="0">
                  <c:v>Bokashi</c:v>
                </c:pt>
              </c:strCache>
            </c:strRef>
          </c:tx>
          <c:spPr>
            <a:solidFill>
              <a:schemeClr val="accent5"/>
            </a:solidFill>
            <a:ln>
              <a:noFill/>
            </a:ln>
            <a:effectLst/>
          </c:spPr>
          <c:invertIfNegative val="0"/>
          <c:cat>
            <c:numRef>
              <c:f>Kengetallen!$D$126</c:f>
              <c:numCache>
                <c:formatCode>General</c:formatCode>
                <c:ptCount val="1"/>
              </c:numCache>
            </c:numRef>
          </c:cat>
          <c:val>
            <c:numRef>
              <c:f>Kengetallen!$D$120</c:f>
              <c:numCache>
                <c:formatCode>0</c:formatCode>
                <c:ptCount val="1"/>
                <c:pt idx="0">
                  <c:v>0</c:v>
                </c:pt>
              </c:numCache>
            </c:numRef>
          </c:val>
          <c:extLst>
            <c:ext xmlns:c16="http://schemas.microsoft.com/office/drawing/2014/chart" uri="{C3380CC4-5D6E-409C-BE32-E72D297353CC}">
              <c16:uniqueId val="{00000004-7C0D-4FCD-B4DF-2DD9C90BD09E}"/>
            </c:ext>
          </c:extLst>
        </c:ser>
        <c:ser>
          <c:idx val="5"/>
          <c:order val="5"/>
          <c:tx>
            <c:strRef>
              <c:f>Kengetallen!$B$121</c:f>
              <c:strCache>
                <c:ptCount val="1"/>
                <c:pt idx="0">
                  <c:v>Gft-vergisting</c:v>
                </c:pt>
              </c:strCache>
            </c:strRef>
          </c:tx>
          <c:spPr>
            <a:solidFill>
              <a:schemeClr val="accent6"/>
            </a:solidFill>
            <a:ln>
              <a:noFill/>
            </a:ln>
            <a:effectLst/>
          </c:spPr>
          <c:invertIfNegative val="0"/>
          <c:cat>
            <c:numRef>
              <c:f>Kengetallen!$D$126</c:f>
              <c:numCache>
                <c:formatCode>General</c:formatCode>
                <c:ptCount val="1"/>
              </c:numCache>
            </c:numRef>
          </c:cat>
          <c:val>
            <c:numRef>
              <c:f>Kengetallen!$D$121</c:f>
              <c:numCache>
                <c:formatCode>0</c:formatCode>
                <c:ptCount val="1"/>
                <c:pt idx="0">
                  <c:v>0</c:v>
                </c:pt>
              </c:numCache>
            </c:numRef>
          </c:val>
          <c:extLst>
            <c:ext xmlns:c16="http://schemas.microsoft.com/office/drawing/2014/chart" uri="{C3380CC4-5D6E-409C-BE32-E72D297353CC}">
              <c16:uniqueId val="{00000005-7C0D-4FCD-B4DF-2DD9C90BD09E}"/>
            </c:ext>
          </c:extLst>
        </c:ser>
        <c:ser>
          <c:idx val="6"/>
          <c:order val="6"/>
          <c:tx>
            <c:strRef>
              <c:f>Kengetallen!$B$122</c:f>
              <c:strCache>
                <c:ptCount val="1"/>
                <c:pt idx="0">
                  <c:v>Co-vergisting</c:v>
                </c:pt>
              </c:strCache>
            </c:strRef>
          </c:tx>
          <c:spPr>
            <a:solidFill>
              <a:schemeClr val="accent1">
                <a:lumMod val="60000"/>
              </a:schemeClr>
            </a:solidFill>
            <a:ln>
              <a:noFill/>
            </a:ln>
            <a:effectLst/>
          </c:spPr>
          <c:invertIfNegative val="0"/>
          <c:cat>
            <c:numRef>
              <c:f>Kengetallen!$D$126</c:f>
              <c:numCache>
                <c:formatCode>General</c:formatCode>
                <c:ptCount val="1"/>
              </c:numCache>
            </c:numRef>
          </c:cat>
          <c:val>
            <c:numRef>
              <c:f>Kengetallen!$D$122</c:f>
              <c:numCache>
                <c:formatCode>0</c:formatCode>
                <c:ptCount val="1"/>
                <c:pt idx="0">
                  <c:v>0</c:v>
                </c:pt>
              </c:numCache>
            </c:numRef>
          </c:val>
          <c:extLst>
            <c:ext xmlns:c16="http://schemas.microsoft.com/office/drawing/2014/chart" uri="{C3380CC4-5D6E-409C-BE32-E72D297353CC}">
              <c16:uniqueId val="{00000006-7C0D-4FCD-B4DF-2DD9C90BD09E}"/>
            </c:ext>
          </c:extLst>
        </c:ser>
        <c:ser>
          <c:idx val="7"/>
          <c:order val="7"/>
          <c:tx>
            <c:strRef>
              <c:f>Kengetallen!$B$123</c:f>
              <c:strCache>
                <c:ptCount val="1"/>
                <c:pt idx="0">
                  <c:v>Bio-energiecentrale</c:v>
                </c:pt>
              </c:strCache>
            </c:strRef>
          </c:tx>
          <c:spPr>
            <a:solidFill>
              <a:schemeClr val="accent2">
                <a:lumMod val="60000"/>
              </a:schemeClr>
            </a:solidFill>
            <a:ln>
              <a:noFill/>
            </a:ln>
            <a:effectLst/>
          </c:spPr>
          <c:invertIfNegative val="0"/>
          <c:cat>
            <c:numRef>
              <c:f>Kengetallen!$D$126</c:f>
              <c:numCache>
                <c:formatCode>General</c:formatCode>
                <c:ptCount val="1"/>
              </c:numCache>
            </c:numRef>
          </c:cat>
          <c:val>
            <c:numRef>
              <c:f>Kengetallen!$D$123</c:f>
              <c:numCache>
                <c:formatCode>0</c:formatCode>
                <c:ptCount val="1"/>
                <c:pt idx="0">
                  <c:v>0</c:v>
                </c:pt>
              </c:numCache>
            </c:numRef>
          </c:val>
          <c:extLst>
            <c:ext xmlns:c16="http://schemas.microsoft.com/office/drawing/2014/chart" uri="{C3380CC4-5D6E-409C-BE32-E72D297353CC}">
              <c16:uniqueId val="{00000007-7C0D-4FCD-B4DF-2DD9C90BD09E}"/>
            </c:ext>
          </c:extLst>
        </c:ser>
        <c:ser>
          <c:idx val="8"/>
          <c:order val="8"/>
          <c:tx>
            <c:strRef>
              <c:f>Kengetallen!$B$124</c:f>
              <c:strCache>
                <c:ptCount val="1"/>
                <c:pt idx="0">
                  <c:v>Compostering</c:v>
                </c:pt>
              </c:strCache>
            </c:strRef>
          </c:tx>
          <c:spPr>
            <a:solidFill>
              <a:schemeClr val="accent3">
                <a:lumMod val="60000"/>
              </a:schemeClr>
            </a:solidFill>
            <a:ln>
              <a:noFill/>
            </a:ln>
            <a:effectLst/>
          </c:spPr>
          <c:invertIfNegative val="0"/>
          <c:cat>
            <c:numRef>
              <c:f>Kengetallen!$D$126</c:f>
              <c:numCache>
                <c:formatCode>General</c:formatCode>
                <c:ptCount val="1"/>
              </c:numCache>
            </c:numRef>
          </c:cat>
          <c:val>
            <c:numRef>
              <c:f>Kengetallen!$D$124</c:f>
              <c:numCache>
                <c:formatCode>0</c:formatCode>
                <c:ptCount val="1"/>
                <c:pt idx="0">
                  <c:v>0</c:v>
                </c:pt>
              </c:numCache>
            </c:numRef>
          </c:val>
          <c:extLst>
            <c:ext xmlns:c16="http://schemas.microsoft.com/office/drawing/2014/chart" uri="{C3380CC4-5D6E-409C-BE32-E72D297353CC}">
              <c16:uniqueId val="{00000008-7C0D-4FCD-B4DF-2DD9C90BD09E}"/>
            </c:ext>
          </c:extLst>
        </c:ser>
        <c:dLbls>
          <c:showLegendKey val="0"/>
          <c:showVal val="0"/>
          <c:showCatName val="0"/>
          <c:showSerName val="0"/>
          <c:showPercent val="0"/>
          <c:showBubbleSize val="0"/>
        </c:dLbls>
        <c:gapWidth val="150"/>
        <c:overlap val="100"/>
        <c:axId val="614656584"/>
        <c:axId val="614655272"/>
      </c:barChart>
      <c:scatterChart>
        <c:scatterStyle val="lineMarker"/>
        <c:varyColors val="0"/>
        <c:ser>
          <c:idx val="9"/>
          <c:order val="9"/>
          <c:tx>
            <c:strRef>
              <c:f>Kengetallen!$B$125</c:f>
              <c:strCache>
                <c:ptCount val="1"/>
                <c:pt idx="0">
                  <c:v>Totaal</c:v>
                </c:pt>
              </c:strCache>
            </c:strRef>
          </c:tx>
          <c:spPr>
            <a:ln w="25400" cap="rnd">
              <a:noFill/>
              <a:round/>
            </a:ln>
            <a:effectLst/>
          </c:spPr>
          <c:marker>
            <c:symbol val="diamond"/>
            <c:size val="7"/>
            <c:spPr>
              <a:solidFill>
                <a:schemeClr val="tx1"/>
              </a:solidFill>
              <a:ln w="9525">
                <a:solidFill>
                  <a:schemeClr val="tx1"/>
                </a:solidFill>
              </a:ln>
              <a:effectLst/>
            </c:spPr>
          </c:marker>
          <c:yVal>
            <c:numRef>
              <c:f>Kengetallen!$D$125</c:f>
              <c:numCache>
                <c:formatCode>0</c:formatCode>
                <c:ptCount val="1"/>
                <c:pt idx="0">
                  <c:v>0</c:v>
                </c:pt>
              </c:numCache>
            </c:numRef>
          </c:yVal>
          <c:smooth val="0"/>
          <c:extLst>
            <c:ext xmlns:c16="http://schemas.microsoft.com/office/drawing/2014/chart" uri="{C3380CC4-5D6E-409C-BE32-E72D297353CC}">
              <c16:uniqueId val="{00000009-7C0D-4FCD-B4DF-2DD9C90BD09E}"/>
            </c:ext>
          </c:extLst>
        </c:ser>
        <c:dLbls>
          <c:showLegendKey val="0"/>
          <c:showVal val="0"/>
          <c:showCatName val="0"/>
          <c:showSerName val="0"/>
          <c:showPercent val="0"/>
          <c:showBubbleSize val="0"/>
        </c:dLbls>
        <c:axId val="614656584"/>
        <c:axId val="614655272"/>
      </c:scatterChart>
      <c:catAx>
        <c:axId val="61465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614655272"/>
        <c:crosses val="autoZero"/>
        <c:auto val="1"/>
        <c:lblAlgn val="ctr"/>
        <c:lblOffset val="100"/>
        <c:noMultiLvlLbl val="0"/>
      </c:catAx>
      <c:valAx>
        <c:axId val="614655272"/>
        <c:scaling>
          <c:orientation val="minMax"/>
        </c:scaling>
        <c:delete val="0"/>
        <c:axPos val="l"/>
        <c:majorGridlines>
          <c:spPr>
            <a:ln w="9525" cap="flat" cmpd="sng" algn="ctr">
              <a:solidFill>
                <a:srgbClr val="D9D9D9"/>
              </a:solidFill>
              <a:prstDash val="solid"/>
              <a:round/>
              <a:headEnd type="none" w="med" len="med"/>
              <a:tailEnd type="none" w="med" len="me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r>
                  <a:rPr lang="nl-NL"/>
                  <a:t>Klimaatimpact (ton CO2-eq)</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Trebuchet MS" panose="020B0603020202020204" pitchFamily="34" charset="0"/>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rebuchet MS"/>
                <a:ea typeface="Trebuchet MS"/>
                <a:cs typeface="Trebuchet MS"/>
              </a:defRPr>
            </a:pPr>
            <a:endParaRPr lang="nl-NL"/>
          </a:p>
        </c:txPr>
        <c:crossAx val="614656584"/>
        <c:crosses val="autoZero"/>
        <c:crossBetween val="between"/>
      </c:valAx>
      <c:spPr>
        <a:solidFill>
          <a:srgbClr val="FFFFFF"/>
        </a:solidFill>
        <a:ln>
          <a:solidFill>
            <a:srgbClr val="D9D9D9"/>
          </a:solidFill>
        </a:ln>
        <a:effectLst/>
      </c:spPr>
    </c:plotArea>
    <c:legend>
      <c:legendPos val="r"/>
      <c:layout>
        <c:manualLayout>
          <c:xMode val="edge"/>
          <c:yMode val="edge"/>
          <c:x val="0.65915157480314956"/>
          <c:y val="0.16275213279947426"/>
          <c:w val="0.32418175853018372"/>
          <c:h val="0.67219267607005073"/>
        </c:manualLayout>
      </c:layout>
      <c:overlay val="0"/>
      <c:spPr>
        <a:solidFill>
          <a:srgbClr val="FFFFFF"/>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rebuchet MS"/>
              <a:ea typeface="Trebuchet MS"/>
              <a:cs typeface="Trebuchet MS"/>
            </a:defRPr>
          </a:pPr>
          <a:endParaRPr lang="nl-NL"/>
        </a:p>
      </c:txPr>
    </c:legend>
    <c:plotVisOnly val="1"/>
    <c:dispBlanksAs val="gap"/>
    <c:showDLblsOverMax val="0"/>
  </c:chart>
  <c:spPr>
    <a:solidFill>
      <a:srgbClr val="FFFFFF"/>
    </a:solidFill>
    <a:ln w="6350" cap="flat" cmpd="sng" algn="ctr">
      <a:solidFill>
        <a:srgbClr val="009DD8"/>
      </a:solidFill>
      <a:prstDash val="solid"/>
      <a:round/>
      <a:headEnd type="none" w="med" len="med"/>
      <a:tailEnd type="none" w="med" len="med"/>
    </a:ln>
    <a:effectLst/>
  </c:spPr>
  <c:txPr>
    <a:bodyPr/>
    <a:lstStyle/>
    <a:p>
      <a:pPr>
        <a:defRPr sz="800">
          <a:latin typeface="Trebuchet MS" panose="020B0603020202020204" pitchFamily="34" charset="0"/>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Achtergrond!$C$240" lockText="1"/>
</file>

<file path=xl/ctrlProps/ctrlProp10.xml><?xml version="1.0" encoding="utf-8"?>
<formControlPr xmlns="http://schemas.microsoft.com/office/spreadsheetml/2009/9/main" objectType="CheckBox" checked="Checked" fmlaLink="#REF!" lockText="1" noThreeD="1"/>
</file>

<file path=xl/ctrlProps/ctrlProp11.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checked="Checked" fmlaLink="#REF!" lockText="1" noThreeD="1"/>
</file>

<file path=xl/ctrlProps/ctrlProp13.xml><?xml version="1.0" encoding="utf-8"?>
<formControlPr xmlns="http://schemas.microsoft.com/office/spreadsheetml/2009/9/main" objectType="CheckBox" fmlaLink="Achtergrond!$E$263" lockText="1"/>
</file>

<file path=xl/ctrlProps/ctrlProp14.xml><?xml version="1.0" encoding="utf-8"?>
<formControlPr xmlns="http://schemas.microsoft.com/office/spreadsheetml/2009/9/main" objectType="CheckBox" fmlaLink="Achtergrond!$E$264" lockText="1"/>
</file>

<file path=xl/ctrlProps/ctrlProp15.xml><?xml version="1.0" encoding="utf-8"?>
<formControlPr xmlns="http://schemas.microsoft.com/office/spreadsheetml/2009/9/main" objectType="CheckBox" fmlaLink="Achtergrond!$E$265" lockText="1"/>
</file>

<file path=xl/ctrlProps/ctrlProp16.xml><?xml version="1.0" encoding="utf-8"?>
<formControlPr xmlns="http://schemas.microsoft.com/office/spreadsheetml/2009/9/main" objectType="CheckBox" fmlaLink="Achtergrond!$E$266" lockText="1"/>
</file>

<file path=xl/ctrlProps/ctrlProp17.xml><?xml version="1.0" encoding="utf-8"?>
<formControlPr xmlns="http://schemas.microsoft.com/office/spreadsheetml/2009/9/main" objectType="CheckBox" fmlaLink="Achtergrond!$E$268" lockText="1"/>
</file>

<file path=xl/ctrlProps/ctrlProp18.xml><?xml version="1.0" encoding="utf-8"?>
<formControlPr xmlns="http://schemas.microsoft.com/office/spreadsheetml/2009/9/main" objectType="CheckBox" fmlaLink="Achtergrond!$E$270" lockText="1"/>
</file>

<file path=xl/ctrlProps/ctrlProp19.xml><?xml version="1.0" encoding="utf-8"?>
<formControlPr xmlns="http://schemas.microsoft.com/office/spreadsheetml/2009/9/main" objectType="CheckBox" fmlaLink="Achtergrond!$E$271" lockText="1"/>
</file>

<file path=xl/ctrlProps/ctrlProp2.xml><?xml version="1.0" encoding="utf-8"?>
<formControlPr xmlns="http://schemas.microsoft.com/office/spreadsheetml/2009/9/main" objectType="CheckBox" fmlaLink="Achtergrond!$C$241" lockText="1"/>
</file>

<file path=xl/ctrlProps/ctrlProp20.xml><?xml version="1.0" encoding="utf-8"?>
<formControlPr xmlns="http://schemas.microsoft.com/office/spreadsheetml/2009/9/main" objectType="CheckBox" fmlaLink="Achtergrond!$E$272" lockText="1"/>
</file>

<file path=xl/ctrlProps/ctrlProp21.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Achtergrond!$C$242" lockText="1"/>
</file>

<file path=xl/ctrlProps/ctrlProp4.xml><?xml version="1.0" encoding="utf-8"?>
<formControlPr xmlns="http://schemas.microsoft.com/office/spreadsheetml/2009/9/main" objectType="CheckBox" fmlaLink="Achtergrond!$C$243" lockText="1"/>
</file>

<file path=xl/ctrlProps/ctrlProp5.xml><?xml version="1.0" encoding="utf-8"?>
<formControlPr xmlns="http://schemas.microsoft.com/office/spreadsheetml/2009/9/main" objectType="CheckBox" fmlaLink="Achtergrond!$E$262" lockText="1"/>
</file>

<file path=xl/ctrlProps/ctrlProp6.xml><?xml version="1.0" encoding="utf-8"?>
<formControlPr xmlns="http://schemas.microsoft.com/office/spreadsheetml/2009/9/main" objectType="CheckBox" checked="Checked" fmlaLink="#REF!" lockText="1" noThreeD="1"/>
</file>

<file path=xl/ctrlProps/ctrlProp7.xml><?xml version="1.0" encoding="utf-8"?>
<formControlPr xmlns="http://schemas.microsoft.com/office/spreadsheetml/2009/9/main" objectType="CheckBox" checked="Checked" fmlaLink="#REF!" lockText="1" noThreeD="1"/>
</file>

<file path=xl/ctrlProps/ctrlProp8.xml><?xml version="1.0" encoding="utf-8"?>
<formControlPr xmlns="http://schemas.microsoft.com/office/spreadsheetml/2009/9/main" objectType="CheckBox" fmlaLink="Achtergrond!$E$267" lockText="1"/>
</file>

<file path=xl/ctrlProps/ctrlProp9.xml><?xml version="1.0" encoding="utf-8"?>
<formControlPr xmlns="http://schemas.microsoft.com/office/spreadsheetml/2009/9/main" objectType="CheckBox" fmlaLink="Achtergrond!$E$269"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chart" Target="../charts/chart4.xml"/><Relationship Id="rId6" Type="http://schemas.openxmlformats.org/officeDocument/2006/relationships/chart" Target="../charts/chart7.xml"/><Relationship Id="rId5" Type="http://schemas.openxmlformats.org/officeDocument/2006/relationships/image" Target="../media/image2.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45</xdr:row>
          <xdr:rowOff>142875</xdr:rowOff>
        </xdr:from>
        <xdr:to>
          <xdr:col>2</xdr:col>
          <xdr:colOff>104775</xdr:colOff>
          <xdr:row>46</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46</xdr:row>
          <xdr:rowOff>219075</xdr:rowOff>
        </xdr:from>
        <xdr:to>
          <xdr:col>2</xdr:col>
          <xdr:colOff>47625</xdr:colOff>
          <xdr:row>48</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0</xdr:rowOff>
        </xdr:from>
        <xdr:to>
          <xdr:col>2</xdr:col>
          <xdr:colOff>114300</xdr:colOff>
          <xdr:row>50</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0</xdr:rowOff>
        </xdr:from>
        <xdr:to>
          <xdr:col>2</xdr:col>
          <xdr:colOff>180975</xdr:colOff>
          <xdr:row>54</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5</xdr:col>
      <xdr:colOff>133350</xdr:colOff>
      <xdr:row>65</xdr:row>
      <xdr:rowOff>80720</xdr:rowOff>
    </xdr:from>
    <xdr:to>
      <xdr:col>6</xdr:col>
      <xdr:colOff>669430</xdr:colOff>
      <xdr:row>67</xdr:row>
      <xdr:rowOff>126999</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344"/>
        <a:stretch/>
      </xdr:blipFill>
      <xdr:spPr>
        <a:xfrm>
          <a:off x="4241800" y="10507420"/>
          <a:ext cx="1094880" cy="382829"/>
        </a:xfrm>
        <a:prstGeom prst="rect">
          <a:avLst/>
        </a:prstGeom>
      </xdr:spPr>
    </xdr:pic>
    <xdr:clientData/>
  </xdr:twoCellAnchor>
  <xdr:twoCellAnchor>
    <xdr:from>
      <xdr:col>1</xdr:col>
      <xdr:colOff>38100</xdr:colOff>
      <xdr:row>62</xdr:row>
      <xdr:rowOff>104775</xdr:rowOff>
    </xdr:from>
    <xdr:to>
      <xdr:col>7</xdr:col>
      <xdr:colOff>57150</xdr:colOff>
      <xdr:row>63</xdr:row>
      <xdr:rowOff>149225</xdr:rowOff>
    </xdr:to>
    <xdr:sp macro="[0]!Goto_sheet2" textlink="">
      <xdr:nvSpPr>
        <xdr:cNvPr id="3" name="Rechthoek: afgeronde hoeken 2">
          <a:extLst>
            <a:ext uri="{FF2B5EF4-FFF2-40B4-BE49-F238E27FC236}">
              <a16:creationId xmlns:a16="http://schemas.microsoft.com/office/drawing/2014/main" id="{00000000-0008-0000-0000-000003000000}"/>
            </a:ext>
          </a:extLst>
        </xdr:cNvPr>
        <xdr:cNvSpPr/>
      </xdr:nvSpPr>
      <xdr:spPr>
        <a:xfrm>
          <a:off x="219075" y="10525125"/>
          <a:ext cx="5553075" cy="3111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lang="nl-NL" sz="1100"/>
            <a:t>Ga naar tabblad "2. Aanvoer en voorbewerking" voor het invullen van de gegevens.</a:t>
          </a:r>
        </a:p>
      </xdr:txBody>
    </xdr:sp>
    <xdr:clientData/>
  </xdr:twoCellAnchor>
  <xdr:twoCellAnchor>
    <xdr:from>
      <xdr:col>3</xdr:col>
      <xdr:colOff>187325</xdr:colOff>
      <xdr:row>65</xdr:row>
      <xdr:rowOff>76200</xdr:rowOff>
    </xdr:from>
    <xdr:to>
      <xdr:col>3</xdr:col>
      <xdr:colOff>2219325</xdr:colOff>
      <xdr:row>68</xdr:row>
      <xdr:rowOff>0</xdr:rowOff>
    </xdr:to>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1787525" y="11106150"/>
          <a:ext cx="203200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a:t>CO2-tool</a:t>
          </a:r>
          <a:r>
            <a:rPr lang="nl-NL" sz="1000" baseline="0"/>
            <a:t> groenafval</a:t>
          </a:r>
        </a:p>
        <a:p>
          <a:pPr algn="ctr"/>
          <a:r>
            <a:rPr lang="nl-NL" sz="1000"/>
            <a:t>Versie 2.3 - © CE Delft 2023</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32</xdr:row>
          <xdr:rowOff>0</xdr:rowOff>
        </xdr:from>
        <xdr:to>
          <xdr:col>2</xdr:col>
          <xdr:colOff>609600</xdr:colOff>
          <xdr:row>33</xdr:row>
          <xdr:rowOff>0</xdr:rowOff>
        </xdr:to>
        <xdr:sp macro="" textlink="">
          <xdr:nvSpPr>
            <xdr:cNvPr id="4097" name="cb_hout_bio"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3</xdr:col>
          <xdr:colOff>219075</xdr:colOff>
          <xdr:row>38</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0</xdr:rowOff>
        </xdr:from>
        <xdr:to>
          <xdr:col>3</xdr:col>
          <xdr:colOff>219075</xdr:colOff>
          <xdr:row>36</xdr:row>
          <xdr:rowOff>28575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0</xdr:rowOff>
        </xdr:from>
        <xdr:to>
          <xdr:col>2</xdr:col>
          <xdr:colOff>466725</xdr:colOff>
          <xdr:row>38</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2</xdr:col>
          <xdr:colOff>457200</xdr:colOff>
          <xdr:row>41</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180975</xdr:rowOff>
        </xdr:from>
        <xdr:to>
          <xdr:col>3</xdr:col>
          <xdr:colOff>219075</xdr:colOff>
          <xdr:row>35</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0</xdr:rowOff>
        </xdr:from>
        <xdr:to>
          <xdr:col>3</xdr:col>
          <xdr:colOff>219075</xdr:colOff>
          <xdr:row>36</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180975</xdr:rowOff>
        </xdr:from>
        <xdr:to>
          <xdr:col>3</xdr:col>
          <xdr:colOff>219075</xdr:colOff>
          <xdr:row>37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32</xdr:row>
          <xdr:rowOff>171450</xdr:rowOff>
        </xdr:from>
        <xdr:to>
          <xdr:col>2</xdr:col>
          <xdr:colOff>600075</xdr:colOff>
          <xdr:row>34</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0</xdr:rowOff>
        </xdr:from>
        <xdr:to>
          <xdr:col>2</xdr:col>
          <xdr:colOff>552450</xdr:colOff>
          <xdr:row>35</xdr:row>
          <xdr:rowOff>19050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0</xdr:rowOff>
        </xdr:from>
        <xdr:to>
          <xdr:col>2</xdr:col>
          <xdr:colOff>571500</xdr:colOff>
          <xdr:row>36</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0</xdr:rowOff>
        </xdr:from>
        <xdr:to>
          <xdr:col>2</xdr:col>
          <xdr:colOff>504825</xdr:colOff>
          <xdr:row>37</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19050</xdr:rowOff>
        </xdr:from>
        <xdr:to>
          <xdr:col>2</xdr:col>
          <xdr:colOff>476250</xdr:colOff>
          <xdr:row>40</xdr:row>
          <xdr:rowOff>47625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171450</xdr:rowOff>
        </xdr:from>
        <xdr:to>
          <xdr:col>2</xdr:col>
          <xdr:colOff>438150</xdr:colOff>
          <xdr:row>42</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2</xdr:col>
          <xdr:colOff>419100</xdr:colOff>
          <xdr:row>44</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76200</xdr:colOff>
      <xdr:row>3</xdr:row>
      <xdr:rowOff>114300</xdr:rowOff>
    </xdr:from>
    <xdr:to>
      <xdr:col>10</xdr:col>
      <xdr:colOff>361950</xdr:colOff>
      <xdr:row>3</xdr:row>
      <xdr:rowOff>2076450</xdr:rowOff>
    </xdr:to>
    <xdr:sp macro="" textlink="">
      <xdr:nvSpPr>
        <xdr:cNvPr id="29" name="Tekstvak 28">
          <a:extLst>
            <a:ext uri="{FF2B5EF4-FFF2-40B4-BE49-F238E27FC236}">
              <a16:creationId xmlns:a16="http://schemas.microsoft.com/office/drawing/2014/main" id="{00000000-0008-0000-0100-00001D000000}"/>
            </a:ext>
          </a:extLst>
        </xdr:cNvPr>
        <xdr:cNvSpPr txBox="1"/>
      </xdr:nvSpPr>
      <xdr:spPr>
        <a:xfrm>
          <a:off x="76200" y="628650"/>
          <a:ext cx="8686800" cy="1962150"/>
        </a:xfrm>
        <a:prstGeom prst="rect">
          <a:avLst/>
        </a:prstGeom>
        <a:solidFill>
          <a:srgbClr val="B5C0E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baseline="0"/>
            <a:t>Op dit tabblad vult u de gegevens in die van toepassing zijn op de aanvoer van het groenafval en de verwerkingsinrichting </a:t>
          </a:r>
          <a:r>
            <a:rPr lang="nl-NL" sz="1000" b="1" u="sng" baseline="0"/>
            <a:t>voor één jaar</a:t>
          </a:r>
          <a:r>
            <a:rPr lang="nl-NL" sz="1000" baseline="0"/>
            <a:t>. </a:t>
          </a:r>
        </a:p>
        <a:p>
          <a:endParaRPr lang="nl-NL" sz="1000" baseline="0"/>
        </a:p>
        <a:p>
          <a:r>
            <a:rPr lang="nl-NL" sz="1000" baseline="0">
              <a:solidFill>
                <a:schemeClr val="dk1"/>
              </a:solidFill>
              <a:latin typeface="+mn-lt"/>
              <a:ea typeface="+mn-ea"/>
              <a:cs typeface="+mn-cs"/>
            </a:rPr>
            <a:t>Selecteer vervolgens van welke bewerkingsopties gebruik wordt gemaakt. Vul in om welke hoeveelheden het gaat. En vul in wat de transportafstand naar de locatie van verdere bewerking is. </a:t>
          </a:r>
        </a:p>
        <a:p>
          <a:endParaRPr lang="nl-NL" sz="100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rgbClr val="000000"/>
              </a:solidFill>
              <a:effectLst/>
              <a:uLnTx/>
              <a:uFillTx/>
              <a:latin typeface="+mn-lt"/>
              <a:ea typeface="+mn-ea"/>
              <a:cs typeface="+mn-cs"/>
            </a:rPr>
            <a:t>Als u op de knoppen "Standaardwaarden invullen" klikt, worden voor een aantal velden alvast de standaardwaarden ingevuld. Indien u zelf waarden heeft die afwijken van de standaardwaarden, dan kunt u die waarden aanpassen. </a:t>
          </a:r>
          <a:endParaRPr lang="nl-NL" sz="1000" baseline="0">
            <a:solidFill>
              <a:schemeClr val="dk1"/>
            </a:solidFill>
            <a:latin typeface="+mn-lt"/>
            <a:ea typeface="+mn-ea"/>
            <a:cs typeface="+mn-cs"/>
          </a:endParaRPr>
        </a:p>
        <a:p>
          <a:endParaRPr lang="nl-NL" sz="1000" baseline="0">
            <a:solidFill>
              <a:schemeClr val="dk1"/>
            </a:solidFill>
            <a:latin typeface="+mn-lt"/>
            <a:ea typeface="+mn-ea"/>
            <a:cs typeface="+mn-cs"/>
          </a:endParaRPr>
        </a:p>
        <a:p>
          <a:r>
            <a:rPr lang="nl-NL" sz="1000" baseline="0">
              <a:solidFill>
                <a:schemeClr val="dk1"/>
              </a:solidFill>
              <a:latin typeface="+mn-lt"/>
              <a:ea typeface="+mn-ea"/>
              <a:cs typeface="+mn-cs"/>
            </a:rPr>
            <a:t>De standaardwaarden worden weergegeven in het </a:t>
          </a:r>
          <a:r>
            <a:rPr lang="nl-NL" sz="1000" baseline="0">
              <a:solidFill>
                <a:srgbClr val="0070C0"/>
              </a:solidFill>
              <a:latin typeface="+mn-lt"/>
              <a:ea typeface="+mn-ea"/>
              <a:cs typeface="+mn-cs"/>
            </a:rPr>
            <a:t>blauw</a:t>
          </a:r>
          <a:r>
            <a:rPr lang="nl-NL" sz="1000" baseline="0">
              <a:solidFill>
                <a:schemeClr val="dk1"/>
              </a:solidFill>
              <a:latin typeface="+mn-lt"/>
              <a:ea typeface="+mn-ea"/>
              <a:cs typeface="+mn-cs"/>
            </a:rPr>
            <a:t>. Waarden die afwijken van de standaardwaarden worden weergeven in het </a:t>
          </a:r>
          <a:r>
            <a:rPr lang="nl-NL" sz="1000" baseline="0">
              <a:solidFill>
                <a:srgbClr val="FF0000"/>
              </a:solidFill>
              <a:latin typeface="+mn-lt"/>
              <a:ea typeface="+mn-ea"/>
              <a:cs typeface="+mn-cs"/>
            </a:rPr>
            <a:t>rood</a:t>
          </a:r>
          <a:r>
            <a:rPr lang="nl-NL" sz="1000" baseline="0">
              <a:solidFill>
                <a:schemeClr val="dk1"/>
              </a:solidFill>
              <a:latin typeface="+mn-lt"/>
              <a:ea typeface="+mn-ea"/>
              <a:cs typeface="+mn-cs"/>
            </a:rPr>
            <a:t>.</a:t>
          </a:r>
        </a:p>
        <a:p>
          <a:endParaRPr lang="nl-NL" sz="1000" baseline="0">
            <a:solidFill>
              <a:schemeClr val="dk1"/>
            </a:solidFill>
            <a:latin typeface="+mn-lt"/>
            <a:ea typeface="+mn-ea"/>
            <a:cs typeface="+mn-cs"/>
          </a:endParaRPr>
        </a:p>
        <a:p>
          <a:r>
            <a:rPr lang="nl-NL" sz="1000" baseline="0">
              <a:solidFill>
                <a:schemeClr val="dk1"/>
              </a:solidFill>
              <a:latin typeface="+mn-lt"/>
              <a:ea typeface="+mn-ea"/>
              <a:cs typeface="+mn-cs"/>
            </a:rPr>
            <a:t>Als u alle gegevens heeft ingevuld, kunt u doorgaan naar tabblad "3. Bewerking". </a:t>
          </a:r>
        </a:p>
      </xdr:txBody>
    </xdr:sp>
    <xdr:clientData/>
  </xdr:twoCellAnchor>
  <xdr:twoCellAnchor editAs="oneCell">
    <xdr:from>
      <xdr:col>9</xdr:col>
      <xdr:colOff>1244600</xdr:colOff>
      <xdr:row>49</xdr:row>
      <xdr:rowOff>76200</xdr:rowOff>
    </xdr:from>
    <xdr:to>
      <xdr:col>10</xdr:col>
      <xdr:colOff>317005</xdr:colOff>
      <xdr:row>51</xdr:row>
      <xdr:rowOff>116129</xdr:rowOff>
    </xdr:to>
    <xdr:pic>
      <xdr:nvPicPr>
        <xdr:cNvPr id="20" name="Afbeelding 19">
          <a:extLst>
            <a:ext uri="{FF2B5EF4-FFF2-40B4-BE49-F238E27FC236}">
              <a16:creationId xmlns:a16="http://schemas.microsoft.com/office/drawing/2014/main" id="{00000000-0008-0000-01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344"/>
        <a:stretch/>
      </xdr:blipFill>
      <xdr:spPr>
        <a:xfrm>
          <a:off x="7626350" y="11496675"/>
          <a:ext cx="1088530" cy="382829"/>
        </a:xfrm>
        <a:prstGeom prst="rect">
          <a:avLst/>
        </a:prstGeom>
      </xdr:spPr>
    </xdr:pic>
    <xdr:clientData/>
  </xdr:twoCellAnchor>
  <xdr:twoCellAnchor>
    <xdr:from>
      <xdr:col>2</xdr:col>
      <xdr:colOff>0</xdr:colOff>
      <xdr:row>8</xdr:row>
      <xdr:rowOff>28575</xdr:rowOff>
    </xdr:from>
    <xdr:to>
      <xdr:col>4</xdr:col>
      <xdr:colOff>285751</xdr:colOff>
      <xdr:row>8</xdr:row>
      <xdr:rowOff>193673</xdr:rowOff>
    </xdr:to>
    <xdr:sp macro="[0]!Standaardwaarden_transport_naar_inrichting" textlink="">
      <xdr:nvSpPr>
        <xdr:cNvPr id="21" name="Rechthoek: afgeronde hoeken 20">
          <a:extLst>
            <a:ext uri="{FF2B5EF4-FFF2-40B4-BE49-F238E27FC236}">
              <a16:creationId xmlns:a16="http://schemas.microsoft.com/office/drawing/2014/main" id="{00000000-0008-0000-0100-000015000000}"/>
            </a:ext>
          </a:extLst>
        </xdr:cNvPr>
        <xdr:cNvSpPr/>
      </xdr:nvSpPr>
      <xdr:spPr>
        <a:xfrm>
          <a:off x="2705100" y="3733800"/>
          <a:ext cx="1609726"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2533650</xdr:colOff>
      <xdr:row>16</xdr:row>
      <xdr:rowOff>0</xdr:rowOff>
    </xdr:from>
    <xdr:to>
      <xdr:col>4</xdr:col>
      <xdr:colOff>285751</xdr:colOff>
      <xdr:row>16</xdr:row>
      <xdr:rowOff>161923</xdr:rowOff>
    </xdr:to>
    <xdr:sp macro="[0]!Standaardwaarden_energie" textlink="">
      <xdr:nvSpPr>
        <xdr:cNvPr id="22" name="Rechthoek: afgeronde hoeken 21">
          <a:extLst>
            <a:ext uri="{FF2B5EF4-FFF2-40B4-BE49-F238E27FC236}">
              <a16:creationId xmlns:a16="http://schemas.microsoft.com/office/drawing/2014/main" id="{00000000-0008-0000-0100-000016000000}"/>
            </a:ext>
          </a:extLst>
        </xdr:cNvPr>
        <xdr:cNvSpPr/>
      </xdr:nvSpPr>
      <xdr:spPr>
        <a:xfrm>
          <a:off x="2695575" y="5353050"/>
          <a:ext cx="1619251" cy="16192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4</xdr:col>
      <xdr:colOff>161925</xdr:colOff>
      <xdr:row>29</xdr:row>
      <xdr:rowOff>104776</xdr:rowOff>
    </xdr:from>
    <xdr:to>
      <xdr:col>7</xdr:col>
      <xdr:colOff>381000</xdr:colOff>
      <xdr:row>30</xdr:row>
      <xdr:rowOff>85726</xdr:rowOff>
    </xdr:to>
    <xdr:sp macro="[0]!Standaardwaarden_transport_producten" textlink="">
      <xdr:nvSpPr>
        <xdr:cNvPr id="23" name="Rechthoek: afgeronde hoeken 22">
          <a:extLst>
            <a:ext uri="{FF2B5EF4-FFF2-40B4-BE49-F238E27FC236}">
              <a16:creationId xmlns:a16="http://schemas.microsoft.com/office/drawing/2014/main" id="{00000000-0008-0000-0100-000017000000}"/>
            </a:ext>
          </a:extLst>
        </xdr:cNvPr>
        <xdr:cNvSpPr/>
      </xdr:nvSpPr>
      <xdr:spPr>
        <a:xfrm>
          <a:off x="4191000" y="7553326"/>
          <a:ext cx="1590675" cy="15240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1593849</xdr:colOff>
      <xdr:row>46</xdr:row>
      <xdr:rowOff>123825</xdr:rowOff>
    </xdr:from>
    <xdr:to>
      <xdr:col>9</xdr:col>
      <xdr:colOff>898524</xdr:colOff>
      <xdr:row>47</xdr:row>
      <xdr:rowOff>82550</xdr:rowOff>
    </xdr:to>
    <xdr:sp macro="[0]!Goto_sheet3" textlink="">
      <xdr:nvSpPr>
        <xdr:cNvPr id="24" name="Rechthoek: afgeronde hoeken 23">
          <a:extLst>
            <a:ext uri="{FF2B5EF4-FFF2-40B4-BE49-F238E27FC236}">
              <a16:creationId xmlns:a16="http://schemas.microsoft.com/office/drawing/2014/main" id="{00000000-0008-0000-0100-000018000000}"/>
            </a:ext>
          </a:extLst>
        </xdr:cNvPr>
        <xdr:cNvSpPr/>
      </xdr:nvSpPr>
      <xdr:spPr>
        <a:xfrm>
          <a:off x="1755774" y="10925175"/>
          <a:ext cx="5524500" cy="234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1100"/>
            <a:t>Ga door naar tabblad "3. Bewerking" als alle gegevens zijn ingevuld. </a:t>
          </a:r>
        </a:p>
      </xdr:txBody>
    </xdr:sp>
    <xdr:clientData/>
  </xdr:twoCellAnchor>
  <xdr:twoCellAnchor>
    <xdr:from>
      <xdr:col>3</xdr:col>
      <xdr:colOff>171450</xdr:colOff>
      <xdr:row>49</xdr:row>
      <xdr:rowOff>38100</xdr:rowOff>
    </xdr:from>
    <xdr:to>
      <xdr:col>7</xdr:col>
      <xdr:colOff>177800</xdr:colOff>
      <xdr:row>51</xdr:row>
      <xdr:rowOff>133350</xdr:rowOff>
    </xdr:to>
    <xdr:sp macro="" textlink="">
      <xdr:nvSpPr>
        <xdr:cNvPr id="25" name="Tekstvak 24">
          <a:extLst>
            <a:ext uri="{FF2B5EF4-FFF2-40B4-BE49-F238E27FC236}">
              <a16:creationId xmlns:a16="http://schemas.microsoft.com/office/drawing/2014/main" id="{00000000-0008-0000-0100-000019000000}"/>
            </a:ext>
          </a:extLst>
        </xdr:cNvPr>
        <xdr:cNvSpPr txBox="1"/>
      </xdr:nvSpPr>
      <xdr:spPr>
        <a:xfrm>
          <a:off x="3543300" y="11458575"/>
          <a:ext cx="20351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a:t>CO2-tool</a:t>
          </a:r>
          <a:r>
            <a:rPr lang="nl-NL" sz="1000" baseline="0"/>
            <a:t> groenafval</a:t>
          </a:r>
        </a:p>
        <a:p>
          <a:pPr algn="ctr"/>
          <a:r>
            <a:rPr lang="nl-NL" sz="1000"/>
            <a:t>Versie 2.3 - © CE Delft 2023</a:t>
          </a: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438150</xdr:colOff>
          <xdr:row>43</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146049</xdr:colOff>
      <xdr:row>3</xdr:row>
      <xdr:rowOff>120651</xdr:rowOff>
    </xdr:from>
    <xdr:to>
      <xdr:col>7</xdr:col>
      <xdr:colOff>438149</xdr:colOff>
      <xdr:row>4</xdr:row>
      <xdr:rowOff>1685925</xdr:rowOff>
    </xdr:to>
    <xdr:sp macro="" textlink="">
      <xdr:nvSpPr>
        <xdr:cNvPr id="2" name="Tekstvak 1">
          <a:extLst>
            <a:ext uri="{FF2B5EF4-FFF2-40B4-BE49-F238E27FC236}">
              <a16:creationId xmlns:a16="http://schemas.microsoft.com/office/drawing/2014/main" id="{00000000-0008-0000-0200-000002000000}"/>
            </a:ext>
          </a:extLst>
        </xdr:cNvPr>
        <xdr:cNvSpPr txBox="1"/>
      </xdr:nvSpPr>
      <xdr:spPr>
        <a:xfrm>
          <a:off x="146049" y="692151"/>
          <a:ext cx="7740650" cy="1755774"/>
        </a:xfrm>
        <a:prstGeom prst="rect">
          <a:avLst/>
        </a:prstGeom>
        <a:solidFill>
          <a:srgbClr val="B5C0E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b="0" i="0" u="none" strike="noStrike">
              <a:solidFill>
                <a:schemeClr val="dk1"/>
              </a:solidFill>
              <a:effectLst/>
              <a:latin typeface="+mn-lt"/>
              <a:ea typeface="+mn-ea"/>
              <a:cs typeface="+mn-cs"/>
            </a:rPr>
            <a:t>Op</a:t>
          </a:r>
          <a:r>
            <a:rPr lang="nl-NL" sz="1000" b="0" i="0" u="none" strike="noStrike" baseline="0">
              <a:solidFill>
                <a:schemeClr val="dk1"/>
              </a:solidFill>
              <a:effectLst/>
              <a:latin typeface="+mn-lt"/>
              <a:ea typeface="+mn-ea"/>
              <a:cs typeface="+mn-cs"/>
            </a:rPr>
            <a:t> dit tabblad worden de geselecteerde bewerkingsopties met bijbehorende tonnages uit tabblad "2. Transport en voorbewerking" verder uitgewerkt. </a:t>
          </a:r>
          <a:endParaRPr lang="nl-NL" sz="1000" b="0" i="0" u="none" strike="noStrike">
            <a:solidFill>
              <a:schemeClr val="dk1"/>
            </a:solidFill>
            <a:effectLst/>
            <a:latin typeface="+mn-lt"/>
            <a:ea typeface="+mn-ea"/>
            <a:cs typeface="+mn-cs"/>
          </a:endParaRPr>
        </a:p>
        <a:p>
          <a:endParaRPr lang="nl-NL" sz="1000" b="1" i="0" u="sng" strike="noStrike">
            <a:solidFill>
              <a:schemeClr val="dk1"/>
            </a:solidFill>
            <a:effectLst/>
            <a:latin typeface="+mn-lt"/>
            <a:ea typeface="+mn-ea"/>
            <a:cs typeface="+mn-cs"/>
          </a:endParaRPr>
        </a:p>
        <a:p>
          <a:r>
            <a:rPr lang="nl-NL" sz="1000" b="1" i="0" u="sng" strike="noStrike">
              <a:solidFill>
                <a:schemeClr val="dk1"/>
              </a:solidFill>
              <a:effectLst/>
              <a:latin typeface="+mn-lt"/>
              <a:ea typeface="+mn-ea"/>
              <a:cs typeface="+mn-cs"/>
            </a:rPr>
            <a:t>Let op!: </a:t>
          </a:r>
          <a:r>
            <a:rPr lang="nl-NL" sz="1000" b="0" i="0" u="none" strike="noStrike">
              <a:solidFill>
                <a:schemeClr val="dk1"/>
              </a:solidFill>
              <a:effectLst/>
              <a:latin typeface="+mn-lt"/>
              <a:ea typeface="+mn-ea"/>
              <a:cs typeface="+mn-cs"/>
            </a:rPr>
            <a:t>Vul alleen gegevens in in de witte invoervelden. Als u toch verwerkingsopties mee wilt</a:t>
          </a:r>
          <a:r>
            <a:rPr lang="nl-NL" sz="1000"/>
            <a:t> nemen die nu grijs</a:t>
          </a:r>
          <a:r>
            <a:rPr lang="nl-NL" sz="1000" baseline="0"/>
            <a:t> zijn, ga dan terug naar tabblad "2. Aanvoer en voorbewerking" en vink daar de gewenste verwerkingsopties aan. </a:t>
          </a:r>
        </a:p>
        <a:p>
          <a:endParaRPr lang="nl-NL" sz="1000" baseline="0"/>
        </a:p>
        <a:p>
          <a:r>
            <a:rPr lang="nl-NL" sz="1000" baseline="0"/>
            <a:t>Met de knoppen "Standaardwaarden invullen" kunt u de standaardwaarden invullen voor een aantal verwerkingsopties. De knop werkt alleen als de betreffende verwerkingsoptie is aangevinkt op tabblad 2. </a:t>
          </a:r>
        </a:p>
        <a:p>
          <a:endParaRPr lang="nl-NL" sz="1000" baseline="0"/>
        </a:p>
        <a:p>
          <a:pPr marL="0" marR="0" lvl="0" indent="0" defTabSz="914400" eaLnBrk="1" fontAlgn="auto" latinLnBrk="0" hangingPunct="1">
            <a:lnSpc>
              <a:spcPct val="100000"/>
            </a:lnSpc>
            <a:spcBef>
              <a:spcPts val="0"/>
            </a:spcBef>
            <a:spcAft>
              <a:spcPts val="0"/>
            </a:spcAft>
            <a:buClrTx/>
            <a:buSzTx/>
            <a:buFontTx/>
            <a:buNone/>
            <a:tabLst/>
            <a:defRPr/>
          </a:pPr>
          <a:r>
            <a:rPr lang="nl-NL" sz="1000" baseline="0">
              <a:solidFill>
                <a:schemeClr val="dk1"/>
              </a:solidFill>
              <a:latin typeface="+mn-lt"/>
              <a:ea typeface="+mn-ea"/>
              <a:cs typeface="+mn-cs"/>
            </a:rPr>
            <a:t>De standaardwaarden worden weergegeven in het </a:t>
          </a:r>
          <a:r>
            <a:rPr lang="nl-NL" sz="1000" baseline="0">
              <a:solidFill>
                <a:srgbClr val="0070C0"/>
              </a:solidFill>
              <a:latin typeface="+mn-lt"/>
              <a:ea typeface="+mn-ea"/>
              <a:cs typeface="+mn-cs"/>
            </a:rPr>
            <a:t>blauw</a:t>
          </a:r>
          <a:r>
            <a:rPr lang="nl-NL" sz="1000" baseline="0">
              <a:solidFill>
                <a:schemeClr val="dk1"/>
              </a:solidFill>
              <a:latin typeface="+mn-lt"/>
              <a:ea typeface="+mn-ea"/>
              <a:cs typeface="+mn-cs"/>
            </a:rPr>
            <a:t>. Waarden die afwijken van de standaardwaarden worden weergeven in het </a:t>
          </a:r>
          <a:r>
            <a:rPr lang="nl-NL" sz="1000" baseline="0">
              <a:solidFill>
                <a:srgbClr val="FF0000"/>
              </a:solidFill>
              <a:latin typeface="+mn-lt"/>
              <a:ea typeface="+mn-ea"/>
              <a:cs typeface="+mn-cs"/>
            </a:rPr>
            <a:t>rood</a:t>
          </a:r>
          <a:r>
            <a:rPr lang="nl-NL" sz="1100" baseline="0">
              <a:solidFill>
                <a:schemeClr val="dk1"/>
              </a:solidFill>
              <a:effectLst/>
              <a:latin typeface="+mn-lt"/>
              <a:ea typeface="+mn-ea"/>
              <a:cs typeface="+mn-cs"/>
            </a:rPr>
            <a:t>.</a:t>
          </a:r>
          <a:endParaRPr lang="nl-NL" sz="1000">
            <a:effectLst/>
          </a:endParaRPr>
        </a:p>
        <a:p>
          <a:endParaRPr lang="nl-NL" sz="1000" baseline="0"/>
        </a:p>
        <a:p>
          <a:endParaRPr lang="nl-NL" sz="1000"/>
        </a:p>
      </xdr:txBody>
    </xdr:sp>
    <xdr:clientData/>
  </xdr:twoCellAnchor>
  <xdr:twoCellAnchor editAs="oneCell">
    <xdr:from>
      <xdr:col>6</xdr:col>
      <xdr:colOff>887895</xdr:colOff>
      <xdr:row>83</xdr:row>
      <xdr:rowOff>77442</xdr:rowOff>
    </xdr:from>
    <xdr:to>
      <xdr:col>7</xdr:col>
      <xdr:colOff>355242</xdr:colOff>
      <xdr:row>85</xdr:row>
      <xdr:rowOff>117371</xdr:rowOff>
    </xdr:to>
    <xdr:pic>
      <xdr:nvPicPr>
        <xdr:cNvPr id="5" name="Afbeelding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344"/>
        <a:stretch/>
      </xdr:blipFill>
      <xdr:spPr>
        <a:xfrm>
          <a:off x="6717195" y="16631892"/>
          <a:ext cx="1086597" cy="382829"/>
        </a:xfrm>
        <a:prstGeom prst="rect">
          <a:avLst/>
        </a:prstGeom>
      </xdr:spPr>
    </xdr:pic>
    <xdr:clientData/>
  </xdr:twoCellAnchor>
  <xdr:twoCellAnchor>
    <xdr:from>
      <xdr:col>1</xdr:col>
      <xdr:colOff>2600324</xdr:colOff>
      <xdr:row>6</xdr:row>
      <xdr:rowOff>25403</xdr:rowOff>
    </xdr:from>
    <xdr:to>
      <xdr:col>3</xdr:col>
      <xdr:colOff>425450</xdr:colOff>
      <xdr:row>6</xdr:row>
      <xdr:rowOff>190501</xdr:rowOff>
    </xdr:to>
    <xdr:sp macro="[0]!Standaardwaarden_bio_energie" textlink="">
      <xdr:nvSpPr>
        <xdr:cNvPr id="3" name="Rechthoek: afgeronde hoeken 2">
          <a:extLst>
            <a:ext uri="{FF2B5EF4-FFF2-40B4-BE49-F238E27FC236}">
              <a16:creationId xmlns:a16="http://schemas.microsoft.com/office/drawing/2014/main" id="{00000000-0008-0000-0200-000003000000}"/>
            </a:ext>
          </a:extLst>
        </xdr:cNvPr>
        <xdr:cNvSpPr/>
      </xdr:nvSpPr>
      <xdr:spPr>
        <a:xfrm>
          <a:off x="2790824" y="3944260"/>
          <a:ext cx="1607912"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2600324</xdr:colOff>
      <xdr:row>14</xdr:row>
      <xdr:rowOff>25400</xdr:rowOff>
    </xdr:from>
    <xdr:to>
      <xdr:col>3</xdr:col>
      <xdr:colOff>428625</xdr:colOff>
      <xdr:row>14</xdr:row>
      <xdr:rowOff>190498</xdr:rowOff>
    </xdr:to>
    <xdr:sp macro="[0]!Standaardwaarden_covergister" textlink="">
      <xdr:nvSpPr>
        <xdr:cNvPr id="10" name="Rechthoek: afgeronde hoeken 9">
          <a:extLst>
            <a:ext uri="{FF2B5EF4-FFF2-40B4-BE49-F238E27FC236}">
              <a16:creationId xmlns:a16="http://schemas.microsoft.com/office/drawing/2014/main" id="{00000000-0008-0000-0200-00000A000000}"/>
            </a:ext>
          </a:extLst>
        </xdr:cNvPr>
        <xdr:cNvSpPr/>
      </xdr:nvSpPr>
      <xdr:spPr>
        <a:xfrm>
          <a:off x="2790824" y="5495471"/>
          <a:ext cx="1611087"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2600324</xdr:colOff>
      <xdr:row>23</xdr:row>
      <xdr:rowOff>63500</xdr:rowOff>
    </xdr:from>
    <xdr:to>
      <xdr:col>3</xdr:col>
      <xdr:colOff>428625</xdr:colOff>
      <xdr:row>23</xdr:row>
      <xdr:rowOff>228598</xdr:rowOff>
    </xdr:to>
    <xdr:sp macro="[0]!Standaardwaarden_gftvergister" textlink="">
      <xdr:nvSpPr>
        <xdr:cNvPr id="11" name="Rechthoek: afgeronde hoeken 10">
          <a:extLst>
            <a:ext uri="{FF2B5EF4-FFF2-40B4-BE49-F238E27FC236}">
              <a16:creationId xmlns:a16="http://schemas.microsoft.com/office/drawing/2014/main" id="{00000000-0008-0000-0200-00000B000000}"/>
            </a:ext>
          </a:extLst>
        </xdr:cNvPr>
        <xdr:cNvSpPr/>
      </xdr:nvSpPr>
      <xdr:spPr>
        <a:xfrm>
          <a:off x="2790824" y="7316107"/>
          <a:ext cx="1611087"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2603499</xdr:colOff>
      <xdr:row>52</xdr:row>
      <xdr:rowOff>158750</xdr:rowOff>
    </xdr:from>
    <xdr:to>
      <xdr:col>3</xdr:col>
      <xdr:colOff>428625</xdr:colOff>
      <xdr:row>53</xdr:row>
      <xdr:rowOff>152398</xdr:rowOff>
    </xdr:to>
    <xdr:sp macro="[0]!Standaardwaarden_compostering" textlink="">
      <xdr:nvSpPr>
        <xdr:cNvPr id="12" name="Rechthoek: afgeronde hoeken 11">
          <a:extLst>
            <a:ext uri="{FF2B5EF4-FFF2-40B4-BE49-F238E27FC236}">
              <a16:creationId xmlns:a16="http://schemas.microsoft.com/office/drawing/2014/main" id="{00000000-0008-0000-0200-00000C000000}"/>
            </a:ext>
          </a:extLst>
        </xdr:cNvPr>
        <xdr:cNvSpPr/>
      </xdr:nvSpPr>
      <xdr:spPr>
        <a:xfrm>
          <a:off x="2793999" y="10750550"/>
          <a:ext cx="1606551"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939800</xdr:colOff>
      <xdr:row>80</xdr:row>
      <xdr:rowOff>123825</xdr:rowOff>
    </xdr:from>
    <xdr:to>
      <xdr:col>6</xdr:col>
      <xdr:colOff>977900</xdr:colOff>
      <xdr:row>81</xdr:row>
      <xdr:rowOff>187325</xdr:rowOff>
    </xdr:to>
    <xdr:sp macro="[0]!Goto_sheet4" textlink="">
      <xdr:nvSpPr>
        <xdr:cNvPr id="8" name="Rechthoek: afgeronde hoeken 7">
          <a:extLst>
            <a:ext uri="{FF2B5EF4-FFF2-40B4-BE49-F238E27FC236}">
              <a16:creationId xmlns:a16="http://schemas.microsoft.com/office/drawing/2014/main" id="{00000000-0008-0000-0200-000008000000}"/>
            </a:ext>
          </a:extLst>
        </xdr:cNvPr>
        <xdr:cNvSpPr/>
      </xdr:nvSpPr>
      <xdr:spPr>
        <a:xfrm>
          <a:off x="1130300" y="16040100"/>
          <a:ext cx="5676900" cy="234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1100"/>
            <a:t>Ga door naar tabblad "4. Resultaten" als alle gegevens zijn ingevuld. </a:t>
          </a:r>
        </a:p>
      </xdr:txBody>
    </xdr:sp>
    <xdr:clientData/>
  </xdr:twoCellAnchor>
  <xdr:twoCellAnchor>
    <xdr:from>
      <xdr:col>1</xdr:col>
      <xdr:colOff>2590800</xdr:colOff>
      <xdr:row>46</xdr:row>
      <xdr:rowOff>19050</xdr:rowOff>
    </xdr:from>
    <xdr:to>
      <xdr:col>3</xdr:col>
      <xdr:colOff>419101</xdr:colOff>
      <xdr:row>46</xdr:row>
      <xdr:rowOff>184148</xdr:rowOff>
    </xdr:to>
    <xdr:sp macro="[0]!Standaardwaarden_residu" textlink="">
      <xdr:nvSpPr>
        <xdr:cNvPr id="9" name="Rechthoek: afgeronde hoeken 8">
          <a:extLst>
            <a:ext uri="{FF2B5EF4-FFF2-40B4-BE49-F238E27FC236}">
              <a16:creationId xmlns:a16="http://schemas.microsoft.com/office/drawing/2014/main" id="{00000000-0008-0000-0200-000009000000}"/>
            </a:ext>
          </a:extLst>
        </xdr:cNvPr>
        <xdr:cNvSpPr/>
      </xdr:nvSpPr>
      <xdr:spPr>
        <a:xfrm>
          <a:off x="2781300" y="9953625"/>
          <a:ext cx="1609726" cy="1650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xdr:twoCellAnchor>
    <xdr:from>
      <xdr:col>1</xdr:col>
      <xdr:colOff>2609850</xdr:colOff>
      <xdr:row>83</xdr:row>
      <xdr:rowOff>47625</xdr:rowOff>
    </xdr:from>
    <xdr:to>
      <xdr:col>4</xdr:col>
      <xdr:colOff>57150</xdr:colOff>
      <xdr:row>85</xdr:row>
      <xdr:rowOff>142875</xdr:rowOff>
    </xdr:to>
    <xdr:sp macro="" textlink="">
      <xdr:nvSpPr>
        <xdr:cNvPr id="13" name="Tekstvak 12">
          <a:extLst>
            <a:ext uri="{FF2B5EF4-FFF2-40B4-BE49-F238E27FC236}">
              <a16:creationId xmlns:a16="http://schemas.microsoft.com/office/drawing/2014/main" id="{00000000-0008-0000-0200-00000D000000}"/>
            </a:ext>
          </a:extLst>
        </xdr:cNvPr>
        <xdr:cNvSpPr txBox="1"/>
      </xdr:nvSpPr>
      <xdr:spPr>
        <a:xfrm>
          <a:off x="2800350" y="16602075"/>
          <a:ext cx="202882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a:t>CO2-tool</a:t>
          </a:r>
          <a:r>
            <a:rPr lang="nl-NL" sz="1000" baseline="0"/>
            <a:t> groenafval</a:t>
          </a:r>
        </a:p>
        <a:p>
          <a:pPr algn="ctr"/>
          <a:r>
            <a:rPr lang="nl-NL" sz="1000"/>
            <a:t>Versie 2.3 - © CE Delft 2023</a:t>
          </a:r>
        </a:p>
      </xdr:txBody>
    </xdr:sp>
    <xdr:clientData/>
  </xdr:twoCellAnchor>
  <xdr:twoCellAnchor>
    <xdr:from>
      <xdr:col>1</xdr:col>
      <xdr:colOff>2562225</xdr:colOff>
      <xdr:row>40</xdr:row>
      <xdr:rowOff>142875</xdr:rowOff>
    </xdr:from>
    <xdr:to>
      <xdr:col>3</xdr:col>
      <xdr:colOff>390526</xdr:colOff>
      <xdr:row>41</xdr:row>
      <xdr:rowOff>133348</xdr:rowOff>
    </xdr:to>
    <xdr:sp macro="[0]!Standaardwaarden_water" textlink="">
      <xdr:nvSpPr>
        <xdr:cNvPr id="14" name="Rechthoek: afgeronde hoeken 13">
          <a:extLst>
            <a:ext uri="{FF2B5EF4-FFF2-40B4-BE49-F238E27FC236}">
              <a16:creationId xmlns:a16="http://schemas.microsoft.com/office/drawing/2014/main" id="{00000000-0008-0000-0200-00000E000000}"/>
            </a:ext>
          </a:extLst>
        </xdr:cNvPr>
        <xdr:cNvSpPr/>
      </xdr:nvSpPr>
      <xdr:spPr>
        <a:xfrm>
          <a:off x="2752725" y="9191625"/>
          <a:ext cx="1609726" cy="16192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900">
              <a:solidFill>
                <a:sysClr val="windowText" lastClr="000000"/>
              </a:solidFill>
            </a:rPr>
            <a:t>Standaardwaarden</a:t>
          </a:r>
          <a:r>
            <a:rPr lang="nl-NL" sz="900" baseline="0">
              <a:solidFill>
                <a:sysClr val="windowText" lastClr="000000"/>
              </a:solidFill>
            </a:rPr>
            <a:t> invullen</a:t>
          </a:r>
          <a:endParaRPr lang="nl-NL"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180975</xdr:colOff>
          <xdr:row>78</xdr:row>
          <xdr:rowOff>95250</xdr:rowOff>
        </xdr:from>
        <xdr:to>
          <xdr:col>6</xdr:col>
          <xdr:colOff>142875</xdr:colOff>
          <xdr:row>79</xdr:row>
          <xdr:rowOff>123825</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De informatie die is gebruikt t.b.v. de broeikasgasemissies zijn ter toetsing voorgelegd aan BVOR</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301625</xdr:colOff>
      <xdr:row>57</xdr:row>
      <xdr:rowOff>12566</xdr:rowOff>
    </xdr:from>
    <xdr:to>
      <xdr:col>9</xdr:col>
      <xdr:colOff>111125</xdr:colOff>
      <xdr:row>58</xdr:row>
      <xdr:rowOff>142875</xdr:rowOff>
    </xdr:to>
    <xdr:pic>
      <xdr:nvPicPr>
        <xdr:cNvPr id="5" name="Afbeelding 4">
          <a:extLst>
            <a:ext uri="{FF2B5EF4-FFF2-40B4-BE49-F238E27FC236}">
              <a16:creationId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9344"/>
        <a:stretch/>
      </xdr:blipFill>
      <xdr:spPr>
        <a:xfrm>
          <a:off x="4730750" y="8832716"/>
          <a:ext cx="971550" cy="301759"/>
        </a:xfrm>
        <a:prstGeom prst="rect">
          <a:avLst/>
        </a:prstGeom>
      </xdr:spPr>
    </xdr:pic>
    <xdr:clientData/>
  </xdr:twoCellAnchor>
  <xdr:twoCellAnchor>
    <xdr:from>
      <xdr:col>0</xdr:col>
      <xdr:colOff>177800</xdr:colOff>
      <xdr:row>28</xdr:row>
      <xdr:rowOff>44450</xdr:rowOff>
    </xdr:from>
    <xdr:to>
      <xdr:col>9</xdr:col>
      <xdr:colOff>0</xdr:colOff>
      <xdr:row>44</xdr:row>
      <xdr:rowOff>38100</xdr:rowOff>
    </xdr:to>
    <xdr:grpSp>
      <xdr:nvGrpSpPr>
        <xdr:cNvPr id="6" name="Groep 5">
          <a:extLst>
            <a:ext uri="{FF2B5EF4-FFF2-40B4-BE49-F238E27FC236}">
              <a16:creationId xmlns:a16="http://schemas.microsoft.com/office/drawing/2014/main" id="{00000000-0008-0000-0300-000006000000}"/>
            </a:ext>
          </a:extLst>
        </xdr:cNvPr>
        <xdr:cNvGrpSpPr/>
      </xdr:nvGrpSpPr>
      <xdr:grpSpPr>
        <a:xfrm>
          <a:off x="177800" y="4406900"/>
          <a:ext cx="5680075" cy="3041650"/>
          <a:chOff x="6759576" y="20193000"/>
          <a:chExt cx="4499991" cy="4108450"/>
        </a:xfrm>
      </xdr:grpSpPr>
      <xdr:graphicFrame macro="">
        <xdr:nvGraphicFramePr>
          <xdr:cNvPr id="10" name="Grafiek 9">
            <a:extLst>
              <a:ext uri="{FF2B5EF4-FFF2-40B4-BE49-F238E27FC236}">
                <a16:creationId xmlns:a16="http://schemas.microsoft.com/office/drawing/2014/main" id="{00000000-0008-0000-0300-00000A000000}"/>
              </a:ext>
            </a:extLst>
          </xdr:cNvPr>
          <xdr:cNvGraphicFramePr/>
        </xdr:nvGraphicFramePr>
        <xdr:xfrm>
          <a:off x="6759576" y="20193000"/>
          <a:ext cx="4499991" cy="4108450"/>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11" name="Afbeelding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84418" y="23900577"/>
            <a:ext cx="241674" cy="383351"/>
          </a:xfrm>
          <a:prstGeom prst="rect">
            <a:avLst/>
          </a:prstGeom>
        </xdr:spPr>
      </xdr:pic>
    </xdr:grpSp>
    <xdr:clientData/>
  </xdr:twoCellAnchor>
  <xdr:twoCellAnchor>
    <xdr:from>
      <xdr:col>8</xdr:col>
      <xdr:colOff>104774</xdr:colOff>
      <xdr:row>0</xdr:row>
      <xdr:rowOff>101600</xdr:rowOff>
    </xdr:from>
    <xdr:to>
      <xdr:col>9</xdr:col>
      <xdr:colOff>139699</xdr:colOff>
      <xdr:row>1</xdr:row>
      <xdr:rowOff>123825</xdr:rowOff>
    </xdr:to>
    <xdr:sp macro="[0]!save_worksheet_Resultaten_as_PDF" textlink="">
      <xdr:nvSpPr>
        <xdr:cNvPr id="2" name="Opslaan_als_PDF1">
          <a:extLst>
            <a:ext uri="{FF2B5EF4-FFF2-40B4-BE49-F238E27FC236}">
              <a16:creationId xmlns:a16="http://schemas.microsoft.com/office/drawing/2014/main" id="{00000000-0008-0000-0300-000002000000}"/>
            </a:ext>
          </a:extLst>
        </xdr:cNvPr>
        <xdr:cNvSpPr/>
      </xdr:nvSpPr>
      <xdr:spPr>
        <a:xfrm>
          <a:off x="4533899" y="101600"/>
          <a:ext cx="1196975" cy="212725"/>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nl-NL" sz="1100"/>
            <a:t>Opslaan als PDF</a:t>
          </a:r>
        </a:p>
      </xdr:txBody>
    </xdr:sp>
    <xdr:clientData/>
  </xdr:twoCellAnchor>
  <xdr:twoCellAnchor>
    <xdr:from>
      <xdr:col>1</xdr:col>
      <xdr:colOff>234950</xdr:colOff>
      <xdr:row>54</xdr:row>
      <xdr:rowOff>28575</xdr:rowOff>
    </xdr:from>
    <xdr:to>
      <xdr:col>8</xdr:col>
      <xdr:colOff>914400</xdr:colOff>
      <xdr:row>55</xdr:row>
      <xdr:rowOff>6350</xdr:rowOff>
    </xdr:to>
    <xdr:sp macro="[0]!Goto_sheet5" textlink="">
      <xdr:nvSpPr>
        <xdr:cNvPr id="8" name="Ga_naar_volgende_sheet">
          <a:extLst>
            <a:ext uri="{FF2B5EF4-FFF2-40B4-BE49-F238E27FC236}">
              <a16:creationId xmlns:a16="http://schemas.microsoft.com/office/drawing/2014/main" id="{00000000-0008-0000-0300-000008000000}"/>
            </a:ext>
          </a:extLst>
        </xdr:cNvPr>
        <xdr:cNvSpPr/>
      </xdr:nvSpPr>
      <xdr:spPr>
        <a:xfrm>
          <a:off x="434975" y="8496300"/>
          <a:ext cx="4908550" cy="1968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nl-NL" sz="1100"/>
            <a:t>Ga door naar tabblad "5.</a:t>
          </a:r>
          <a:r>
            <a:rPr lang="nl-NL" sz="1100" baseline="0"/>
            <a:t> Uitgebreide resultaten</a:t>
          </a:r>
          <a:r>
            <a:rPr lang="nl-NL" sz="1100"/>
            <a:t>" voor meer details</a:t>
          </a:r>
        </a:p>
      </xdr:txBody>
    </xdr:sp>
    <xdr:clientData/>
  </xdr:twoCellAnchor>
  <xdr:twoCellAnchor>
    <xdr:from>
      <xdr:col>3</xdr:col>
      <xdr:colOff>76200</xdr:colOff>
      <xdr:row>55</xdr:row>
      <xdr:rowOff>107949</xdr:rowOff>
    </xdr:from>
    <xdr:to>
      <xdr:col>7</xdr:col>
      <xdr:colOff>34925</xdr:colOff>
      <xdr:row>59</xdr:row>
      <xdr:rowOff>0</xdr:rowOff>
    </xdr:to>
    <xdr:sp macro="" textlink="">
      <xdr:nvSpPr>
        <xdr:cNvPr id="9" name="Tekstvak 8">
          <a:extLst>
            <a:ext uri="{FF2B5EF4-FFF2-40B4-BE49-F238E27FC236}">
              <a16:creationId xmlns:a16="http://schemas.microsoft.com/office/drawing/2014/main" id="{00000000-0008-0000-0300-000009000000}"/>
            </a:ext>
          </a:extLst>
        </xdr:cNvPr>
        <xdr:cNvSpPr txBox="1"/>
      </xdr:nvSpPr>
      <xdr:spPr>
        <a:xfrm>
          <a:off x="1724025" y="8794749"/>
          <a:ext cx="2035175" cy="42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a:t>CO2-tool</a:t>
          </a:r>
          <a:r>
            <a:rPr lang="nl-NL" sz="1000" baseline="0"/>
            <a:t> groenafval</a:t>
          </a:r>
        </a:p>
        <a:p>
          <a:pPr algn="ctr"/>
          <a:r>
            <a:rPr lang="nl-NL" sz="1000"/>
            <a:t>Versie 2.3 - © CE Delft 2023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12</xdr:row>
      <xdr:rowOff>104773</xdr:rowOff>
    </xdr:from>
    <xdr:to>
      <xdr:col>5</xdr:col>
      <xdr:colOff>968375</xdr:colOff>
      <xdr:row>36</xdr:row>
      <xdr:rowOff>104775</xdr:rowOff>
    </xdr:to>
    <xdr:grpSp>
      <xdr:nvGrpSpPr>
        <xdr:cNvPr id="2" name="Groep 1">
          <a:extLst>
            <a:ext uri="{FF2B5EF4-FFF2-40B4-BE49-F238E27FC236}">
              <a16:creationId xmlns:a16="http://schemas.microsoft.com/office/drawing/2014/main" id="{00000000-0008-0000-0400-000002000000}"/>
            </a:ext>
          </a:extLst>
        </xdr:cNvPr>
        <xdr:cNvGrpSpPr/>
      </xdr:nvGrpSpPr>
      <xdr:grpSpPr>
        <a:xfrm>
          <a:off x="219075" y="1647823"/>
          <a:ext cx="5616575" cy="4495802"/>
          <a:chOff x="171450" y="2063748"/>
          <a:chExt cx="5422900" cy="4445002"/>
        </a:xfrm>
      </xdr:grpSpPr>
      <xdr:graphicFrame macro="">
        <xdr:nvGraphicFramePr>
          <xdr:cNvPr id="3" name="Chart 21">
            <a:extLst>
              <a:ext uri="{FF2B5EF4-FFF2-40B4-BE49-F238E27FC236}">
                <a16:creationId xmlns:a16="http://schemas.microsoft.com/office/drawing/2014/main" id="{00000000-0008-0000-0400-000003000000}"/>
              </a:ext>
            </a:extLst>
          </xdr:cNvPr>
          <xdr:cNvGraphicFramePr/>
        </xdr:nvGraphicFramePr>
        <xdr:xfrm>
          <a:off x="171450" y="2063748"/>
          <a:ext cx="5422900" cy="444500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fiek 4">
            <a:extLst>
              <a:ext uri="{FF2B5EF4-FFF2-40B4-BE49-F238E27FC236}">
                <a16:creationId xmlns:a16="http://schemas.microsoft.com/office/drawing/2014/main" id="{00000000-0008-0000-0400-000005000000}"/>
              </a:ext>
            </a:extLst>
          </xdr:cNvPr>
          <xdr:cNvGraphicFramePr>
            <a:graphicFrameLocks/>
          </xdr:cNvGraphicFramePr>
        </xdr:nvGraphicFramePr>
        <xdr:xfrm>
          <a:off x="298450" y="2330450"/>
          <a:ext cx="2489200" cy="305154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editAs="oneCell">
    <xdr:from>
      <xdr:col>5</xdr:col>
      <xdr:colOff>169005</xdr:colOff>
      <xdr:row>56</xdr:row>
      <xdr:rowOff>37548</xdr:rowOff>
    </xdr:from>
    <xdr:to>
      <xdr:col>6</xdr:col>
      <xdr:colOff>202704</xdr:colOff>
      <xdr:row>58</xdr:row>
      <xdr:rowOff>152400</xdr:rowOff>
    </xdr:to>
    <xdr:pic>
      <xdr:nvPicPr>
        <xdr:cNvPr id="7" name="Afbeelding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19344"/>
        <a:stretch/>
      </xdr:blipFill>
      <xdr:spPr>
        <a:xfrm>
          <a:off x="4807680" y="9591123"/>
          <a:ext cx="1033824" cy="324402"/>
        </a:xfrm>
        <a:prstGeom prst="rect">
          <a:avLst/>
        </a:prstGeom>
      </xdr:spPr>
    </xdr:pic>
    <xdr:clientData/>
  </xdr:twoCellAnchor>
  <xdr:twoCellAnchor editAs="oneCell">
    <xdr:from>
      <xdr:col>5</xdr:col>
      <xdr:colOff>702692</xdr:colOff>
      <xdr:row>35</xdr:row>
      <xdr:rowOff>9522</xdr:rowOff>
    </xdr:from>
    <xdr:to>
      <xdr:col>5</xdr:col>
      <xdr:colOff>943992</xdr:colOff>
      <xdr:row>36</xdr:row>
      <xdr:rowOff>79372</xdr:rowOff>
    </xdr:to>
    <xdr:pic>
      <xdr:nvPicPr>
        <xdr:cNvPr id="6" name="Afbeelding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41367" y="5429247"/>
          <a:ext cx="238125" cy="241300"/>
        </a:xfrm>
        <a:prstGeom prst="rect">
          <a:avLst/>
        </a:prstGeom>
      </xdr:spPr>
    </xdr:pic>
    <xdr:clientData/>
  </xdr:twoCellAnchor>
  <xdr:twoCellAnchor>
    <xdr:from>
      <xdr:col>5</xdr:col>
      <xdr:colOff>238125</xdr:colOff>
      <xdr:row>0</xdr:row>
      <xdr:rowOff>63500</xdr:rowOff>
    </xdr:from>
    <xdr:to>
      <xdr:col>7</xdr:col>
      <xdr:colOff>0</xdr:colOff>
      <xdr:row>1</xdr:row>
      <xdr:rowOff>130175</xdr:rowOff>
    </xdr:to>
    <xdr:sp macro="[0]!save_worksheet_Uitgebreide_resultaten_as_PDF" textlink="">
      <xdr:nvSpPr>
        <xdr:cNvPr id="8" name="Opslaan_als_PDF2">
          <a:extLst>
            <a:ext uri="{FF2B5EF4-FFF2-40B4-BE49-F238E27FC236}">
              <a16:creationId xmlns:a16="http://schemas.microsoft.com/office/drawing/2014/main" id="{00000000-0008-0000-0400-000008000000}"/>
            </a:ext>
          </a:extLst>
        </xdr:cNvPr>
        <xdr:cNvSpPr/>
      </xdr:nvSpPr>
      <xdr:spPr>
        <a:xfrm>
          <a:off x="4876800" y="63500"/>
          <a:ext cx="1028700" cy="238125"/>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nl-NL" sz="900"/>
            <a:t>Opslaan als PDF</a:t>
          </a:r>
        </a:p>
      </xdr:txBody>
    </xdr:sp>
    <xdr:clientData/>
  </xdr:twoCellAnchor>
  <xdr:twoCellAnchor>
    <xdr:from>
      <xdr:col>1</xdr:col>
      <xdr:colOff>1666875</xdr:colOff>
      <xdr:row>55</xdr:row>
      <xdr:rowOff>38101</xdr:rowOff>
    </xdr:from>
    <xdr:to>
      <xdr:col>4</xdr:col>
      <xdr:colOff>266700</xdr:colOff>
      <xdr:row>59</xdr:row>
      <xdr:rowOff>0</xdr:rowOff>
    </xdr:to>
    <xdr:sp macro="" textlink="">
      <xdr:nvSpPr>
        <xdr:cNvPr id="9" name="Tekstvak 8">
          <a:extLst>
            <a:ext uri="{FF2B5EF4-FFF2-40B4-BE49-F238E27FC236}">
              <a16:creationId xmlns:a16="http://schemas.microsoft.com/office/drawing/2014/main" id="{00000000-0008-0000-0400-000009000000}"/>
            </a:ext>
          </a:extLst>
        </xdr:cNvPr>
        <xdr:cNvSpPr txBox="1"/>
      </xdr:nvSpPr>
      <xdr:spPr>
        <a:xfrm>
          <a:off x="1866900" y="8848726"/>
          <a:ext cx="2038350" cy="390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000"/>
            <a:t>CO2-tool</a:t>
          </a:r>
          <a:r>
            <a:rPr lang="nl-NL" sz="1000" baseline="0"/>
            <a:t> groenafval</a:t>
          </a:r>
        </a:p>
        <a:p>
          <a:pPr algn="ctr"/>
          <a:r>
            <a:rPr lang="nl-NL" sz="1000"/>
            <a:t>Versie 2.3 - © CE Delft 2023</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0.71207</cdr:x>
      <cdr:y>0.05897</cdr:y>
    </cdr:from>
    <cdr:to>
      <cdr:x>0.94007</cdr:x>
      <cdr:y>0.12659</cdr:y>
    </cdr:to>
    <cdr:sp macro="" textlink="">
      <cdr:nvSpPr>
        <cdr:cNvPr id="2" name="Tekstvak 18"/>
        <cdr:cNvSpPr txBox="1"/>
      </cdr:nvSpPr>
      <cdr:spPr>
        <a:xfrm xmlns:a="http://schemas.openxmlformats.org/drawingml/2006/main">
          <a:off x="3861459" y="262103"/>
          <a:ext cx="1236421" cy="30057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nl-NL" sz="900" b="1" i="0" u="none" strike="noStrike" kern="1200" spc="0" baseline="0">
              <a:solidFill>
                <a:srgbClr val="000000">
                  <a:lumMod val="65000"/>
                  <a:lumOff val="35000"/>
                </a:srgbClr>
              </a:solidFill>
              <a:latin typeface="Trebuchet MS"/>
              <a:ea typeface="Trebuchet MS"/>
              <a:cs typeface="Trebuchet MS"/>
            </a:rPr>
            <a:t>Methode</a:t>
          </a:r>
          <a:r>
            <a:rPr lang="nl-NL" sz="900">
              <a:latin typeface="+mj-lt"/>
            </a:rPr>
            <a:t> </a:t>
          </a:r>
          <a:r>
            <a:rPr lang="nl-NL" sz="900" b="1" i="0" u="none" strike="noStrike" kern="1200" spc="0" baseline="0">
              <a:solidFill>
                <a:srgbClr val="000000">
                  <a:lumMod val="65000"/>
                  <a:lumOff val="35000"/>
                </a:srgbClr>
              </a:solidFill>
              <a:latin typeface="Trebuchet MS"/>
            </a:rPr>
            <a:t>B</a:t>
          </a:r>
          <a:endParaRPr lang="nl-NL" sz="900" b="1" i="0" u="none" strike="noStrike" kern="1200" spc="0" baseline="0">
            <a:solidFill>
              <a:srgbClr val="000000">
                <a:lumMod val="65000"/>
                <a:lumOff val="35000"/>
              </a:srgbClr>
            </a:solidFill>
            <a:latin typeface="Trebuchet MS"/>
            <a:ea typeface="Trebuchet MS"/>
            <a:cs typeface="Trebuchet MS"/>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581025</xdr:colOff>
      <xdr:row>129</xdr:row>
      <xdr:rowOff>158750</xdr:rowOff>
    </xdr:from>
    <xdr:to>
      <xdr:col>5</xdr:col>
      <xdr:colOff>173758</xdr:colOff>
      <xdr:row>157</xdr:row>
      <xdr:rowOff>0</xdr:rowOff>
    </xdr:to>
    <xdr:grpSp>
      <xdr:nvGrpSpPr>
        <xdr:cNvPr id="12" name="Groep 11">
          <a:extLst>
            <a:ext uri="{FF2B5EF4-FFF2-40B4-BE49-F238E27FC236}">
              <a16:creationId xmlns:a16="http://schemas.microsoft.com/office/drawing/2014/main" id="{00000000-0008-0000-0500-00000C000000}"/>
            </a:ext>
          </a:extLst>
        </xdr:cNvPr>
        <xdr:cNvGrpSpPr/>
      </xdr:nvGrpSpPr>
      <xdr:grpSpPr>
        <a:xfrm>
          <a:off x="838200" y="25666700"/>
          <a:ext cx="5193433" cy="5175250"/>
          <a:chOff x="923925" y="23069550"/>
          <a:chExt cx="4411091" cy="4641850"/>
        </a:xfrm>
      </xdr:grpSpPr>
      <xdr:graphicFrame macro="">
        <xdr:nvGraphicFramePr>
          <xdr:cNvPr id="6" name="Chart 51">
            <a:extLst>
              <a:ext uri="{FF2B5EF4-FFF2-40B4-BE49-F238E27FC236}">
                <a16:creationId xmlns:a16="http://schemas.microsoft.com/office/drawing/2014/main" id="{00000000-0008-0000-0500-000006000000}"/>
              </a:ext>
            </a:extLst>
          </xdr:cNvPr>
          <xdr:cNvGraphicFramePr/>
        </xdr:nvGraphicFramePr>
        <xdr:xfrm>
          <a:off x="923925" y="23069550"/>
          <a:ext cx="4029013" cy="4641850"/>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11" name="Afbeelding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93716" y="27393900"/>
            <a:ext cx="241300" cy="241300"/>
          </a:xfrm>
          <a:prstGeom prst="rect">
            <a:avLst/>
          </a:prstGeom>
        </xdr:spPr>
      </xdr:pic>
    </xdr:grpSp>
    <xdr:clientData/>
  </xdr:twoCellAnchor>
  <xdr:twoCellAnchor>
    <xdr:from>
      <xdr:col>5</xdr:col>
      <xdr:colOff>606426</xdr:colOff>
      <xdr:row>138</xdr:row>
      <xdr:rowOff>69850</xdr:rowOff>
    </xdr:from>
    <xdr:to>
      <xdr:col>7</xdr:col>
      <xdr:colOff>660400</xdr:colOff>
      <xdr:row>154</xdr:row>
      <xdr:rowOff>69850</xdr:rowOff>
    </xdr:to>
    <xdr:graphicFrame macro="">
      <xdr:nvGraphicFramePr>
        <xdr:cNvPr id="13" name="Grafiek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161924</xdr:colOff>
      <xdr:row>131</xdr:row>
      <xdr:rowOff>120650</xdr:rowOff>
    </xdr:from>
    <xdr:to>
      <xdr:col>5</xdr:col>
      <xdr:colOff>25399</xdr:colOff>
      <xdr:row>150</xdr:row>
      <xdr:rowOff>6350</xdr:rowOff>
    </xdr:to>
    <xdr:graphicFrame macro="">
      <xdr:nvGraphicFramePr>
        <xdr:cNvPr id="16" name="Grafiek 15">
          <a:extLst>
            <a:ext uri="{FF2B5EF4-FFF2-40B4-BE49-F238E27FC236}">
              <a16:creationId xmlns:a16="http://schemas.microsoft.com/office/drawing/2014/main" id="{00000000-0008-0000-0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1454150</xdr:colOff>
      <xdr:row>131</xdr:row>
      <xdr:rowOff>95250</xdr:rowOff>
    </xdr:from>
    <xdr:to>
      <xdr:col>2</xdr:col>
      <xdr:colOff>463550</xdr:colOff>
      <xdr:row>133</xdr:row>
      <xdr:rowOff>50800</xdr:rowOff>
    </xdr:to>
    <xdr:sp macro="" textlink="">
      <xdr:nvSpPr>
        <xdr:cNvPr id="19" name="Tekstvak 18">
          <a:extLst>
            <a:ext uri="{FF2B5EF4-FFF2-40B4-BE49-F238E27FC236}">
              <a16:creationId xmlns:a16="http://schemas.microsoft.com/office/drawing/2014/main" id="{00000000-0008-0000-0500-000013000000}"/>
            </a:ext>
          </a:extLst>
        </xdr:cNvPr>
        <xdr:cNvSpPr txBox="1"/>
      </xdr:nvSpPr>
      <xdr:spPr>
        <a:xfrm>
          <a:off x="1701800" y="24161750"/>
          <a:ext cx="10858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b="1" i="0" u="none" strike="noStrike" kern="1200" spc="0" baseline="0">
              <a:solidFill>
                <a:srgbClr val="000000">
                  <a:lumMod val="65000"/>
                  <a:lumOff val="35000"/>
                </a:srgbClr>
              </a:solidFill>
              <a:latin typeface="Trebuchet MS"/>
              <a:ea typeface="Trebuchet MS"/>
              <a:cs typeface="Trebuchet MS"/>
            </a:rPr>
            <a:t>Methode</a:t>
          </a:r>
          <a:r>
            <a:rPr lang="nl-NL" sz="900">
              <a:latin typeface="+mj-lt"/>
            </a:rPr>
            <a:t> </a:t>
          </a:r>
          <a:r>
            <a:rPr lang="nl-NL" sz="900" b="1" i="0" u="none" strike="noStrike" kern="1200" spc="0" baseline="0">
              <a:solidFill>
                <a:srgbClr val="000000">
                  <a:lumMod val="65000"/>
                  <a:lumOff val="35000"/>
                </a:srgbClr>
              </a:solidFill>
              <a:latin typeface="Trebuchet MS"/>
              <a:ea typeface="Trebuchet MS"/>
              <a:cs typeface="Trebuchet MS"/>
            </a:rPr>
            <a:t>A</a:t>
          </a:r>
        </a:p>
      </xdr:txBody>
    </xdr:sp>
    <xdr:clientData/>
  </xdr:twoCellAnchor>
  <xdr:twoCellAnchor editAs="oneCell">
    <xdr:from>
      <xdr:col>4</xdr:col>
      <xdr:colOff>597916</xdr:colOff>
      <xdr:row>155</xdr:row>
      <xdr:rowOff>25400</xdr:rowOff>
    </xdr:from>
    <xdr:to>
      <xdr:col>4</xdr:col>
      <xdr:colOff>839216</xdr:colOff>
      <xdr:row>156</xdr:row>
      <xdr:rowOff>95250</xdr:rowOff>
    </xdr:to>
    <xdr:pic>
      <xdr:nvPicPr>
        <xdr:cNvPr id="10" name="Afbeelding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98466" y="27863800"/>
          <a:ext cx="241300" cy="241300"/>
        </a:xfrm>
        <a:prstGeom prst="rect">
          <a:avLst/>
        </a:prstGeom>
      </xdr:spPr>
    </xdr:pic>
    <xdr:clientData/>
  </xdr:twoCellAnchor>
  <xdr:twoCellAnchor>
    <xdr:from>
      <xdr:col>5</xdr:col>
      <xdr:colOff>587376</xdr:colOff>
      <xdr:row>133</xdr:row>
      <xdr:rowOff>6350</xdr:rowOff>
    </xdr:from>
    <xdr:to>
      <xdr:col>10</xdr:col>
      <xdr:colOff>248667</xdr:colOff>
      <xdr:row>157</xdr:row>
      <xdr:rowOff>0</xdr:rowOff>
    </xdr:to>
    <xdr:grpSp>
      <xdr:nvGrpSpPr>
        <xdr:cNvPr id="17" name="Groep 16">
          <a:extLst>
            <a:ext uri="{FF2B5EF4-FFF2-40B4-BE49-F238E27FC236}">
              <a16:creationId xmlns:a16="http://schemas.microsoft.com/office/drawing/2014/main" id="{00000000-0008-0000-0500-000011000000}"/>
            </a:ext>
          </a:extLst>
        </xdr:cNvPr>
        <xdr:cNvGrpSpPr/>
      </xdr:nvGrpSpPr>
      <xdr:grpSpPr>
        <a:xfrm>
          <a:off x="6445251" y="26276300"/>
          <a:ext cx="4757166" cy="4565650"/>
          <a:chOff x="6759576" y="20193000"/>
          <a:chExt cx="4499991" cy="4108450"/>
        </a:xfrm>
      </xdr:grpSpPr>
      <xdr:graphicFrame macro="">
        <xdr:nvGraphicFramePr>
          <xdr:cNvPr id="14" name="Grafiek 13">
            <a:extLst>
              <a:ext uri="{FF2B5EF4-FFF2-40B4-BE49-F238E27FC236}">
                <a16:creationId xmlns:a16="http://schemas.microsoft.com/office/drawing/2014/main" id="{00000000-0008-0000-0500-00000E000000}"/>
              </a:ext>
            </a:extLst>
          </xdr:cNvPr>
          <xdr:cNvGraphicFramePr/>
        </xdr:nvGraphicFramePr>
        <xdr:xfrm>
          <a:off x="6759576" y="20193000"/>
          <a:ext cx="4499991" cy="4108450"/>
        </xdr:xfrm>
        <a:graphic>
          <a:graphicData uri="http://schemas.openxmlformats.org/drawingml/2006/chart">
            <c:chart xmlns:c="http://schemas.openxmlformats.org/drawingml/2006/chart" xmlns:r="http://schemas.openxmlformats.org/officeDocument/2006/relationships" r:id="rId6"/>
          </a:graphicData>
        </a:graphic>
      </xdr:graphicFrame>
      <xdr:pic>
        <xdr:nvPicPr>
          <xdr:cNvPr id="15" name="Afbeelding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929367" y="23983950"/>
            <a:ext cx="241300" cy="2413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lab_user\Desktop\CE%20Delft%20-%20Model%20Gas%20als%20zonnebranstof%20v17%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Voor hoofdrapport"/>
      <sheetName val="VAR+RESULTATEN"/>
      <sheetName val="TABELLEN"/>
      <sheetName val="Kosten"/>
      <sheetName val="Kenmerken technologien"/>
      <sheetName val="Parameters"/>
      <sheetName val="Herkomst en opslag"/>
      <sheetName val="Energieconversie"/>
      <sheetName val="H2-keten - Elektrolyse"/>
      <sheetName val="SLNG-keten - Elektrolyse + Meth"/>
      <sheetName val="1a"/>
      <sheetName val="1a bio-SNG SC"/>
      <sheetName val="1b bio-SNG NL"/>
      <sheetName val="2e NH3 ES"/>
      <sheetName val="2e NH3 NL"/>
      <sheetName val="Massa en energie Fe"/>
      <sheetName val="Stuwmeer E-route"/>
      <sheetName val="Photolyse"/>
      <sheetName val="Gelijktijdigheid door het jaar "/>
      <sheetName val="DropDowns"/>
      <sheetName val="Annual CO2 emissions biogas DEC"/>
      <sheetName val="Voor_hoofdrapport"/>
      <sheetName val="Kenmerken_technologien"/>
      <sheetName val="Herkomst_en_opslag"/>
      <sheetName val="H2-keten_-_Elektrolyse"/>
      <sheetName val="SLNG-keten_-_Elektrolyse_+_Meth"/>
      <sheetName val="1a_bio-SNG_SC"/>
      <sheetName val="1b_bio-SNG_NL"/>
      <sheetName val="2e_NH3_ES"/>
      <sheetName val="2e_NH3_NL"/>
      <sheetName val="Massa_en_energie_Fe"/>
      <sheetName val="Stuwmeer_E-route"/>
      <sheetName val="Gelijktijdigheid_door_het_jaar_"/>
      <sheetName val="Annual_CO2_emissions_biogas_DEC"/>
      <sheetName val="Voor_hoofdrapport3"/>
      <sheetName val="Kenmerken_technologien3"/>
      <sheetName val="Herkomst_en_opslag3"/>
      <sheetName val="H2-keten_-_Elektrolyse3"/>
      <sheetName val="SLNG-keten_-_Elektrolyse_+_Met3"/>
      <sheetName val="1a_bio-SNG_SC3"/>
      <sheetName val="1b_bio-SNG_NL3"/>
      <sheetName val="2e_NH3_ES3"/>
      <sheetName val="2e_NH3_NL3"/>
      <sheetName val="Massa_en_energie_Fe3"/>
      <sheetName val="Stuwmeer_E-route3"/>
      <sheetName val="Gelijktijdigheid_door_het_jaar3"/>
      <sheetName val="Annual_CO2_emissions_biogas_DE3"/>
      <sheetName val="Voor_hoofdrapport1"/>
      <sheetName val="Kenmerken_technologien1"/>
      <sheetName val="Herkomst_en_opslag1"/>
      <sheetName val="H2-keten_-_Elektrolyse1"/>
      <sheetName val="SLNG-keten_-_Elektrolyse_+_Met1"/>
      <sheetName val="1a_bio-SNG_SC1"/>
      <sheetName val="1b_bio-SNG_NL1"/>
      <sheetName val="2e_NH3_ES1"/>
      <sheetName val="2e_NH3_NL1"/>
      <sheetName val="Massa_en_energie_Fe1"/>
      <sheetName val="Stuwmeer_E-route1"/>
      <sheetName val="Gelijktijdigheid_door_het_jaar1"/>
      <sheetName val="Annual_CO2_emissions_biogas_DE1"/>
      <sheetName val="Voor_hoofdrapport2"/>
      <sheetName val="Kenmerken_technologien2"/>
      <sheetName val="Herkomst_en_opslag2"/>
      <sheetName val="H2-keten_-_Elektrolyse2"/>
      <sheetName val="SLNG-keten_-_Elektrolyse_+_Met2"/>
      <sheetName val="1a_bio-SNG_SC2"/>
      <sheetName val="1b_bio-SNG_NL2"/>
      <sheetName val="2e_NH3_ES2"/>
      <sheetName val="2e_NH3_NL2"/>
      <sheetName val="Massa_en_energie_Fe2"/>
      <sheetName val="Stuwmeer_E-route2"/>
      <sheetName val="Gelijktijdigheid_door_het_jaar2"/>
      <sheetName val="Annual_CO2_emissions_biogas_DE2"/>
    </sheetNames>
    <sheetDataSet>
      <sheetData sheetId="0"/>
      <sheetData sheetId="1"/>
      <sheetData sheetId="2"/>
      <sheetData sheetId="3"/>
      <sheetData sheetId="4"/>
      <sheetData sheetId="5">
        <row r="5">
          <cell r="C5">
            <v>0.12</v>
          </cell>
          <cell r="F5">
            <v>0.05</v>
          </cell>
        </row>
        <row r="7">
          <cell r="C7">
            <v>0.02</v>
          </cell>
        </row>
        <row r="9">
          <cell r="C9">
            <v>0.18</v>
          </cell>
        </row>
        <row r="14">
          <cell r="D14">
            <v>0.82</v>
          </cell>
        </row>
        <row r="29">
          <cell r="E29">
            <v>0.6</v>
          </cell>
        </row>
        <row r="35">
          <cell r="E35">
            <v>0.1</v>
          </cell>
        </row>
        <row r="41">
          <cell r="D41">
            <v>0.94</v>
          </cell>
          <cell r="E41">
            <v>0.88</v>
          </cell>
        </row>
        <row r="52">
          <cell r="D52">
            <v>0.7</v>
          </cell>
          <cell r="E52">
            <v>0.9</v>
          </cell>
        </row>
        <row r="61">
          <cell r="D61">
            <v>0.03</v>
          </cell>
        </row>
        <row r="62">
          <cell r="D62">
            <v>4.0000000000000002E-4</v>
          </cell>
        </row>
        <row r="69">
          <cell r="D69">
            <v>2E-3</v>
          </cell>
          <cell r="F69">
            <v>2E-3</v>
          </cell>
        </row>
        <row r="76">
          <cell r="D76">
            <v>0.1</v>
          </cell>
          <cell r="E76">
            <v>1.2999999999999999E-2</v>
          </cell>
        </row>
        <row r="77">
          <cell r="E77">
            <v>2E-3</v>
          </cell>
        </row>
        <row r="84">
          <cell r="D84">
            <v>3.0000000000000001E-3</v>
          </cell>
        </row>
        <row r="85">
          <cell r="D85">
            <v>0.08</v>
          </cell>
        </row>
        <row r="92">
          <cell r="D92">
            <v>1.4999999999999999E-2</v>
          </cell>
        </row>
        <row r="93">
          <cell r="D93">
            <v>3.5000000000000003E-2</v>
          </cell>
        </row>
        <row r="100">
          <cell r="D100">
            <v>0.999</v>
          </cell>
          <cell r="E100">
            <v>0.995</v>
          </cell>
        </row>
        <row r="111">
          <cell r="D111">
            <v>0.5</v>
          </cell>
          <cell r="E111">
            <v>0.9</v>
          </cell>
          <cell r="H111">
            <v>0.9</v>
          </cell>
        </row>
        <row r="127">
          <cell r="D127">
            <v>3</v>
          </cell>
        </row>
      </sheetData>
      <sheetData sheetId="6">
        <row r="4">
          <cell r="C4">
            <v>7500</v>
          </cell>
          <cell r="P4">
            <v>3.6</v>
          </cell>
        </row>
        <row r="5">
          <cell r="P5">
            <v>0.79776625000000001</v>
          </cell>
        </row>
        <row r="8">
          <cell r="C8">
            <v>150</v>
          </cell>
        </row>
        <row r="11">
          <cell r="C11">
            <v>150</v>
          </cell>
        </row>
        <row r="12">
          <cell r="C12">
            <v>80</v>
          </cell>
        </row>
        <row r="18">
          <cell r="C18">
            <v>4</v>
          </cell>
        </row>
        <row r="19">
          <cell r="C19">
            <v>15</v>
          </cell>
        </row>
        <row r="30">
          <cell r="P30">
            <v>32.800000000000004</v>
          </cell>
        </row>
        <row r="32">
          <cell r="S32">
            <v>141.80000000000001</v>
          </cell>
        </row>
        <row r="33">
          <cell r="P33">
            <v>0.65600000000000003</v>
          </cell>
        </row>
        <row r="34">
          <cell r="P34">
            <v>8.9880000000000002E-2</v>
          </cell>
        </row>
        <row r="36">
          <cell r="P36">
            <v>999.97199999999998</v>
          </cell>
          <cell r="S36">
            <v>0.99997199999999997</v>
          </cell>
        </row>
        <row r="38">
          <cell r="P38">
            <v>1.9770000000000001</v>
          </cell>
        </row>
        <row r="39">
          <cell r="P39">
            <v>18.015280000000001</v>
          </cell>
        </row>
        <row r="40">
          <cell r="P40">
            <v>2.0158800000000001</v>
          </cell>
        </row>
        <row r="41">
          <cell r="P41">
            <v>44.009500000000003</v>
          </cell>
        </row>
        <row r="43">
          <cell r="P43">
            <v>16.042459999999998</v>
          </cell>
        </row>
        <row r="44">
          <cell r="P44">
            <v>31.998799999999999</v>
          </cell>
        </row>
        <row r="45">
          <cell r="P45">
            <v>35.17</v>
          </cell>
          <cell r="S45">
            <v>53.612804878048777</v>
          </cell>
        </row>
      </sheetData>
      <sheetData sheetId="7"/>
      <sheetData sheetId="8"/>
      <sheetData sheetId="9">
        <row r="7">
          <cell r="C7">
            <v>22688969.466453198</v>
          </cell>
        </row>
      </sheetData>
      <sheetData sheetId="10"/>
      <sheetData sheetId="11"/>
      <sheetData sheetId="12"/>
      <sheetData sheetId="13"/>
      <sheetData sheetId="14">
        <row r="14">
          <cell r="AM14">
            <v>625</v>
          </cell>
        </row>
      </sheetData>
      <sheetData sheetId="15"/>
      <sheetData sheetId="16"/>
      <sheetData sheetId="17"/>
      <sheetData sheetId="18"/>
      <sheetData sheetId="19"/>
      <sheetData sheetId="20">
        <row r="8">
          <cell r="AB8">
            <v>7500</v>
          </cell>
        </row>
        <row r="16">
          <cell r="AB16">
            <v>3250</v>
          </cell>
        </row>
        <row r="17">
          <cell r="AB17">
            <v>3942</v>
          </cell>
          <cell r="AC17">
            <v>2190</v>
          </cell>
        </row>
      </sheetData>
      <sheetData sheetId="21" refreshError="1"/>
      <sheetData sheetId="22"/>
      <sheetData sheetId="23">
        <row r="5">
          <cell r="C5">
            <v>0.12</v>
          </cell>
        </row>
      </sheetData>
      <sheetData sheetId="24"/>
      <sheetData sheetId="25">
        <row r="7">
          <cell r="C7">
            <v>22688969.466453198</v>
          </cell>
        </row>
      </sheetData>
      <sheetData sheetId="26"/>
      <sheetData sheetId="27"/>
      <sheetData sheetId="28"/>
      <sheetData sheetId="29">
        <row r="14">
          <cell r="AM14">
            <v>625</v>
          </cell>
        </row>
      </sheetData>
      <sheetData sheetId="30"/>
      <sheetData sheetId="31"/>
      <sheetData sheetId="32"/>
      <sheetData sheetId="33"/>
      <sheetData sheetId="34"/>
      <sheetData sheetId="35"/>
      <sheetData sheetId="36">
        <row r="5">
          <cell r="C5">
            <v>0.12</v>
          </cell>
        </row>
      </sheetData>
      <sheetData sheetId="37"/>
      <sheetData sheetId="38">
        <row r="7">
          <cell r="C7">
            <v>22688969.466453198</v>
          </cell>
        </row>
      </sheetData>
      <sheetData sheetId="39"/>
      <sheetData sheetId="40"/>
      <sheetData sheetId="41"/>
      <sheetData sheetId="42">
        <row r="14">
          <cell r="AM14">
            <v>625</v>
          </cell>
        </row>
      </sheetData>
      <sheetData sheetId="43"/>
      <sheetData sheetId="44"/>
      <sheetData sheetId="45"/>
      <sheetData sheetId="46"/>
      <sheetData sheetId="47"/>
      <sheetData sheetId="48"/>
      <sheetData sheetId="49">
        <row r="5">
          <cell r="C5">
            <v>0.12</v>
          </cell>
        </row>
      </sheetData>
      <sheetData sheetId="50"/>
      <sheetData sheetId="51">
        <row r="7">
          <cell r="C7">
            <v>22688969.466453198</v>
          </cell>
        </row>
      </sheetData>
      <sheetData sheetId="52"/>
      <sheetData sheetId="53"/>
      <sheetData sheetId="54"/>
      <sheetData sheetId="55">
        <row r="14">
          <cell r="AM14">
            <v>625</v>
          </cell>
        </row>
      </sheetData>
      <sheetData sheetId="56"/>
      <sheetData sheetId="57"/>
      <sheetData sheetId="58"/>
      <sheetData sheetId="59"/>
      <sheetData sheetId="60"/>
      <sheetData sheetId="61"/>
      <sheetData sheetId="62">
        <row r="5">
          <cell r="C5">
            <v>0.12</v>
          </cell>
        </row>
      </sheetData>
      <sheetData sheetId="63"/>
      <sheetData sheetId="64">
        <row r="7">
          <cell r="C7">
            <v>22688969.466453198</v>
          </cell>
        </row>
      </sheetData>
      <sheetData sheetId="65"/>
      <sheetData sheetId="66"/>
      <sheetData sheetId="67"/>
      <sheetData sheetId="68">
        <row r="14">
          <cell r="AM14">
            <v>625</v>
          </cell>
        </row>
      </sheetData>
      <sheetData sheetId="69"/>
      <sheetData sheetId="70"/>
      <sheetData sheetId="71"/>
      <sheetData sheetId="72"/>
      <sheetData sheetId="73"/>
    </sheetDataSet>
  </externalBook>
</externalLink>
</file>

<file path=xl/theme/theme1.xml><?xml version="1.0" encoding="utf-8"?>
<a:theme xmlns:a="http://schemas.openxmlformats.org/drawingml/2006/main" name="Thema CE Delft">
  <a:themeElements>
    <a:clrScheme name="Kleuren CE Delft">
      <a:dk1>
        <a:srgbClr val="000000"/>
      </a:dk1>
      <a:lt1>
        <a:srgbClr val="FFFFFF"/>
      </a:lt1>
      <a:dk2>
        <a:srgbClr val="000000"/>
      </a:dk2>
      <a:lt2>
        <a:srgbClr val="FFFFFF"/>
      </a:lt2>
      <a:accent1>
        <a:srgbClr val="009DD8"/>
      </a:accent1>
      <a:accent2>
        <a:srgbClr val="8DD3FF"/>
      </a:accent2>
      <a:accent3>
        <a:srgbClr val="FFDB00"/>
      </a:accent3>
      <a:accent4>
        <a:srgbClr val="009133"/>
      </a:accent4>
      <a:accent5>
        <a:srgbClr val="70C82F"/>
      </a:accent5>
      <a:accent6>
        <a:srgbClr val="344893"/>
      </a:accent6>
      <a:hlink>
        <a:srgbClr val="009DD8"/>
      </a:hlink>
      <a:folHlink>
        <a:srgbClr val="009DD8"/>
      </a:folHlink>
    </a:clrScheme>
    <a:fontScheme name="Lettertypen CE Delft">
      <a:majorFont>
        <a:latin typeface="Trebuchet MS"/>
        <a:ea typeface=""/>
        <a:cs typeface=""/>
      </a:majorFont>
      <a:minorFont>
        <a:latin typeface="Trebuchet M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Kleur 1">
      <a:srgbClr val="009DD8"/>
    </a:custClr>
    <a:custClr name="Kleur 2">
      <a:srgbClr val="8DD3FF"/>
    </a:custClr>
    <a:custClr name="Kleur 3">
      <a:srgbClr val="FFDB00"/>
    </a:custClr>
    <a:custClr name="Kleur 4">
      <a:srgbClr val="009133"/>
    </a:custClr>
    <a:custClr name="Kleur 5">
      <a:srgbClr val="70C82F"/>
    </a:custClr>
    <a:custClr name="Kleur 6">
      <a:srgbClr val="344893"/>
    </a:custClr>
    <a:custClr>
      <a:srgbClr val="FFFFFF"/>
    </a:custClr>
    <a:custClr>
      <a:srgbClr val="FFFFFF"/>
    </a:custClr>
    <a:custClr>
      <a:srgbClr val="FFFFFF"/>
    </a:custClr>
    <a:custClr>
      <a:srgbClr val="FFFFFF"/>
    </a:custClr>
    <a:custClr name="Rasterlijnen">
      <a:srgbClr val="D9D9D9"/>
    </a:custClr>
    <a:custClr name="Tekstvlakken">
      <a:srgbClr val="B9E4FF"/>
    </a:custClr>
    <a:custClr name="Pijlen">
      <a:srgbClr val="A6A6A6"/>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Steunkleur 1">
      <a:srgbClr val="F79646"/>
    </a:custClr>
    <a:custClr name="Steunkleur 2">
      <a:srgbClr val="FF0000"/>
    </a:custClr>
    <a:custClr name="Steunkleur 3">
      <a:srgbClr val="009C9E"/>
    </a:custClr>
    <a:custClr name="Steunkleur 4">
      <a:srgbClr val="41C4B3"/>
    </a:custClr>
    <a:custClr name="Steunkleur 5">
      <a:srgbClr val="902B8F"/>
    </a:custClr>
    <a:custClr name="Steunkleur 6">
      <a:srgbClr val="B55CAA"/>
    </a:custClr>
    <a:custClr name="Steunkleur 7">
      <a:srgbClr val="F27221"/>
    </a:custClr>
    <a:custClr>
      <a:srgbClr val="FFFFFF"/>
    </a:custClr>
    <a:custClr>
      <a:srgbClr val="FFFFFF"/>
    </a:custClr>
    <a:custClr>
      <a:srgbClr val="FFFFFF"/>
    </a:custClr>
  </a:custClr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O68"/>
  <sheetViews>
    <sheetView showRowColHeaders="0" tabSelected="1" zoomScaleNormal="100" workbookViewId="0">
      <selection activeCell="B34" sqref="B34:G38"/>
    </sheetView>
  </sheetViews>
  <sheetFormatPr defaultColWidth="0" defaultRowHeight="15" zeroHeight="1" x14ac:dyDescent="0.3"/>
  <cols>
    <col min="1" max="1" width="2.85546875" customWidth="1"/>
    <col min="2" max="2" width="3.5703125" customWidth="1"/>
    <col min="3" max="3" width="18.85546875" customWidth="1"/>
    <col min="4" max="4" width="44.85546875" customWidth="1"/>
    <col min="5" max="5" width="1.42578125" customWidth="1"/>
    <col min="6" max="6" width="8.85546875" customWidth="1"/>
    <col min="7" max="7" width="10.7109375" customWidth="1"/>
    <col min="8" max="8" width="4.42578125" customWidth="1"/>
    <col min="9" max="16384" width="8.85546875" hidden="1"/>
  </cols>
  <sheetData>
    <row r="1" spans="1:12" x14ac:dyDescent="0.3">
      <c r="A1" s="146" t="s">
        <v>232</v>
      </c>
      <c r="B1" s="147"/>
      <c r="C1" s="147"/>
      <c r="D1" s="147"/>
      <c r="E1" s="147"/>
      <c r="F1" s="147"/>
      <c r="G1" s="147"/>
      <c r="H1" s="147"/>
    </row>
    <row r="2" spans="1:12" x14ac:dyDescent="0.3">
      <c r="A2" s="147"/>
      <c r="B2" s="147"/>
      <c r="C2" s="147"/>
      <c r="D2" s="147"/>
      <c r="E2" s="147"/>
      <c r="F2" s="147"/>
      <c r="G2" s="147"/>
      <c r="H2" s="147"/>
    </row>
    <row r="3" spans="1:12" x14ac:dyDescent="0.3">
      <c r="A3" s="147"/>
      <c r="B3" s="147"/>
      <c r="C3" s="147"/>
      <c r="D3" s="147"/>
      <c r="E3" s="147"/>
      <c r="F3" s="147"/>
      <c r="G3" s="147"/>
      <c r="H3" s="147"/>
    </row>
    <row r="4" spans="1:12" ht="13.5" customHeight="1" x14ac:dyDescent="0.3">
      <c r="A4" s="40"/>
      <c r="B4" s="40"/>
      <c r="C4" s="40"/>
      <c r="D4" s="40"/>
      <c r="E4" s="40"/>
      <c r="F4" s="40"/>
      <c r="G4" s="40"/>
      <c r="H4" s="40"/>
    </row>
    <row r="5" spans="1:12" ht="13.5" customHeight="1" x14ac:dyDescent="0.35">
      <c r="A5" s="40"/>
      <c r="B5" s="1" t="s">
        <v>233</v>
      </c>
      <c r="C5" s="40"/>
      <c r="D5" s="40"/>
      <c r="E5" s="40"/>
      <c r="F5" s="40"/>
      <c r="G5" s="40"/>
      <c r="H5" s="40"/>
      <c r="K5" s="10"/>
    </row>
    <row r="6" spans="1:12" ht="13.5" customHeight="1" x14ac:dyDescent="0.3">
      <c r="A6" s="40"/>
      <c r="B6" s="151" t="s">
        <v>261</v>
      </c>
      <c r="C6" s="151"/>
      <c r="D6" s="151"/>
      <c r="E6" s="151"/>
      <c r="F6" s="151"/>
      <c r="G6" s="151"/>
      <c r="H6" s="40"/>
      <c r="K6" s="10"/>
    </row>
    <row r="7" spans="1:12" ht="13.5" customHeight="1" x14ac:dyDescent="0.3">
      <c r="A7" s="40"/>
      <c r="B7" s="151"/>
      <c r="C7" s="151"/>
      <c r="D7" s="151"/>
      <c r="E7" s="151"/>
      <c r="F7" s="151"/>
      <c r="G7" s="151"/>
      <c r="H7" s="40"/>
      <c r="K7" s="10"/>
    </row>
    <row r="8" spans="1:12" ht="13.5" customHeight="1" x14ac:dyDescent="0.3">
      <c r="A8" s="40"/>
      <c r="B8" s="151"/>
      <c r="C8" s="151"/>
      <c r="D8" s="151"/>
      <c r="E8" s="151"/>
      <c r="F8" s="151"/>
      <c r="G8" s="151"/>
      <c r="H8" s="1"/>
      <c r="K8" s="10"/>
    </row>
    <row r="9" spans="1:12" ht="13.5" customHeight="1" x14ac:dyDescent="0.3">
      <c r="A9" s="40"/>
      <c r="B9" s="151"/>
      <c r="C9" s="151"/>
      <c r="D9" s="151"/>
      <c r="E9" s="151"/>
      <c r="F9" s="151"/>
      <c r="G9" s="151"/>
      <c r="H9" s="1"/>
    </row>
    <row r="10" spans="1:12" ht="13.5" customHeight="1" x14ac:dyDescent="0.3">
      <c r="A10" s="40"/>
      <c r="B10" s="151"/>
      <c r="C10" s="151"/>
      <c r="D10" s="151"/>
      <c r="E10" s="151"/>
      <c r="F10" s="151"/>
      <c r="G10" s="151"/>
      <c r="H10" s="1"/>
    </row>
    <row r="11" spans="1:12" ht="21.95" customHeight="1" x14ac:dyDescent="0.3">
      <c r="A11" s="40"/>
      <c r="B11" s="151"/>
      <c r="C11" s="151"/>
      <c r="D11" s="151"/>
      <c r="E11" s="151"/>
      <c r="F11" s="151"/>
      <c r="G11" s="151"/>
      <c r="H11" s="1"/>
    </row>
    <row r="12" spans="1:12" x14ac:dyDescent="0.3">
      <c r="A12" s="1"/>
      <c r="B12" s="46"/>
      <c r="C12" s="46"/>
      <c r="D12" s="46"/>
      <c r="E12" s="46"/>
      <c r="F12" s="46"/>
      <c r="G12" s="46"/>
      <c r="H12" s="1"/>
    </row>
    <row r="13" spans="1:12" x14ac:dyDescent="0.3">
      <c r="A13" s="1"/>
      <c r="B13" s="3" t="s">
        <v>162</v>
      </c>
      <c r="C13" s="1"/>
      <c r="D13" s="1"/>
      <c r="E13" s="1"/>
      <c r="F13" s="1"/>
      <c r="G13" s="1"/>
      <c r="H13" s="1"/>
    </row>
    <row r="14" spans="1:12" ht="13.5" customHeight="1" x14ac:dyDescent="0.3">
      <c r="A14" s="1"/>
      <c r="B14" s="42" t="s">
        <v>191</v>
      </c>
      <c r="C14" s="148" t="s">
        <v>219</v>
      </c>
      <c r="D14" s="148"/>
      <c r="E14" s="148"/>
      <c r="F14" s="148"/>
      <c r="G14" s="148"/>
      <c r="H14" s="1"/>
      <c r="L14" s="10"/>
    </row>
    <row r="15" spans="1:12" x14ac:dyDescent="0.3">
      <c r="A15" s="1"/>
      <c r="B15" s="42"/>
      <c r="C15" s="148"/>
      <c r="D15" s="148"/>
      <c r="E15" s="148"/>
      <c r="F15" s="148"/>
      <c r="G15" s="148"/>
      <c r="H15" s="1"/>
    </row>
    <row r="16" spans="1:12" x14ac:dyDescent="0.3">
      <c r="A16" s="1"/>
      <c r="B16" s="44" t="s">
        <v>192</v>
      </c>
      <c r="C16" s="148" t="s">
        <v>318</v>
      </c>
      <c r="D16" s="148"/>
      <c r="E16" s="148"/>
      <c r="F16" s="148"/>
      <c r="G16" s="148"/>
      <c r="H16" s="1"/>
    </row>
    <row r="17" spans="1:12" x14ac:dyDescent="0.3">
      <c r="A17" s="1"/>
      <c r="B17" s="1"/>
      <c r="C17" s="148"/>
      <c r="D17" s="148"/>
      <c r="E17" s="148"/>
      <c r="F17" s="148"/>
      <c r="G17" s="148"/>
      <c r="H17" s="1"/>
    </row>
    <row r="18" spans="1:12" x14ac:dyDescent="0.3">
      <c r="A18" s="1"/>
      <c r="B18" s="1"/>
      <c r="C18" s="148"/>
      <c r="D18" s="148"/>
      <c r="E18" s="148"/>
      <c r="F18" s="148"/>
      <c r="G18" s="148"/>
      <c r="H18" s="1"/>
      <c r="L18" s="10"/>
    </row>
    <row r="19" spans="1:12" x14ac:dyDescent="0.3">
      <c r="A19" s="1"/>
      <c r="B19" s="44" t="s">
        <v>193</v>
      </c>
      <c r="C19" s="148" t="s">
        <v>194</v>
      </c>
      <c r="D19" s="148"/>
      <c r="E19" s="148"/>
      <c r="F19" s="148"/>
      <c r="G19" s="148"/>
      <c r="H19" s="1"/>
    </row>
    <row r="20" spans="1:12" x14ac:dyDescent="0.3">
      <c r="A20" s="1"/>
      <c r="B20" s="1"/>
      <c r="C20" s="148"/>
      <c r="D20" s="148"/>
      <c r="E20" s="148"/>
      <c r="F20" s="148"/>
      <c r="G20" s="148"/>
      <c r="H20" s="1"/>
    </row>
    <row r="21" spans="1:12" hidden="1" x14ac:dyDescent="0.3">
      <c r="A21" s="1"/>
      <c r="B21" s="1"/>
      <c r="C21" s="148"/>
      <c r="D21" s="148"/>
      <c r="E21" s="148"/>
      <c r="F21" s="148"/>
      <c r="G21" s="148"/>
      <c r="H21" s="1"/>
    </row>
    <row r="22" spans="1:12" x14ac:dyDescent="0.3">
      <c r="A22" s="1"/>
      <c r="B22" s="45" t="s">
        <v>195</v>
      </c>
      <c r="C22" s="148" t="s">
        <v>196</v>
      </c>
      <c r="D22" s="148"/>
      <c r="E22" s="148"/>
      <c r="F22" s="148"/>
      <c r="G22" s="148"/>
      <c r="H22" s="1"/>
      <c r="L22" s="10"/>
    </row>
    <row r="23" spans="1:12" x14ac:dyDescent="0.3">
      <c r="A23" s="1"/>
      <c r="B23" s="1"/>
      <c r="C23" s="148"/>
      <c r="D23" s="148"/>
      <c r="E23" s="148"/>
      <c r="F23" s="148"/>
      <c r="G23" s="148"/>
      <c r="H23" s="1"/>
    </row>
    <row r="24" spans="1:12" x14ac:dyDescent="0.3">
      <c r="A24" s="1"/>
      <c r="B24" s="44" t="s">
        <v>197</v>
      </c>
      <c r="C24" s="148" t="s">
        <v>198</v>
      </c>
      <c r="D24" s="148"/>
      <c r="E24" s="148"/>
      <c r="F24" s="148"/>
      <c r="G24" s="148"/>
      <c r="H24" s="1"/>
    </row>
    <row r="25" spans="1:12" x14ac:dyDescent="0.3">
      <c r="A25" s="1"/>
      <c r="B25" s="1"/>
      <c r="C25" s="148"/>
      <c r="D25" s="148"/>
      <c r="E25" s="148"/>
      <c r="F25" s="148"/>
      <c r="G25" s="148"/>
      <c r="H25" s="1"/>
    </row>
    <row r="26" spans="1:12" x14ac:dyDescent="0.3">
      <c r="A26" s="1"/>
      <c r="B26" s="1"/>
      <c r="C26" s="1"/>
      <c r="D26" s="1"/>
      <c r="E26" s="1"/>
      <c r="F26" s="1"/>
      <c r="G26" s="1"/>
      <c r="H26" s="1"/>
      <c r="L26" s="10"/>
    </row>
    <row r="27" spans="1:12" x14ac:dyDescent="0.3">
      <c r="A27" s="1"/>
      <c r="B27" s="3" t="s">
        <v>104</v>
      </c>
      <c r="C27" s="1"/>
      <c r="D27" s="1"/>
      <c r="E27" s="1"/>
      <c r="F27" s="1"/>
      <c r="G27" s="1"/>
      <c r="H27" s="1"/>
    </row>
    <row r="28" spans="1:12" x14ac:dyDescent="0.3">
      <c r="A28" s="1"/>
      <c r="B28" s="4" t="s">
        <v>105</v>
      </c>
      <c r="C28" s="1"/>
      <c r="D28" s="61"/>
      <c r="E28" s="1"/>
      <c r="F28" s="1"/>
      <c r="G28" s="1"/>
      <c r="H28" s="1"/>
    </row>
    <row r="29" spans="1:12" x14ac:dyDescent="0.3">
      <c r="A29" s="1"/>
      <c r="B29" s="4" t="s">
        <v>106</v>
      </c>
      <c r="C29" s="1"/>
      <c r="D29" s="61"/>
      <c r="E29" s="1"/>
      <c r="F29" s="1"/>
      <c r="G29" s="1"/>
      <c r="H29" s="1"/>
      <c r="L29" s="10"/>
    </row>
    <row r="30" spans="1:12" x14ac:dyDescent="0.3">
      <c r="A30" s="1"/>
      <c r="B30" s="4" t="s">
        <v>221</v>
      </c>
      <c r="C30" s="1"/>
      <c r="D30" s="62"/>
      <c r="E30" s="1"/>
      <c r="F30" s="1"/>
      <c r="G30" s="1"/>
      <c r="H30" s="1"/>
    </row>
    <row r="31" spans="1:12" s="1" customFormat="1" x14ac:dyDescent="0.3">
      <c r="B31" s="4"/>
      <c r="C31" s="74" t="s">
        <v>222</v>
      </c>
      <c r="D31" s="44"/>
    </row>
    <row r="32" spans="1:12" x14ac:dyDescent="0.3">
      <c r="A32" s="1"/>
      <c r="B32" s="1"/>
      <c r="C32" s="1"/>
      <c r="D32" s="1"/>
      <c r="E32" s="1"/>
      <c r="F32" s="1"/>
      <c r="G32" s="1"/>
      <c r="H32" s="1"/>
    </row>
    <row r="33" spans="1:15" x14ac:dyDescent="0.3">
      <c r="A33" s="1"/>
      <c r="B33" s="3" t="s">
        <v>220</v>
      </c>
      <c r="C33" s="1"/>
      <c r="D33" s="1"/>
      <c r="E33" s="1"/>
      <c r="F33" s="1"/>
      <c r="G33" s="1"/>
      <c r="H33" s="1"/>
    </row>
    <row r="34" spans="1:15" ht="13.5" customHeight="1" x14ac:dyDescent="0.3">
      <c r="A34" s="1"/>
      <c r="B34" s="148" t="s">
        <v>181</v>
      </c>
      <c r="C34" s="148"/>
      <c r="D34" s="148"/>
      <c r="E34" s="148"/>
      <c r="F34" s="148"/>
      <c r="G34" s="148"/>
      <c r="H34" s="1"/>
    </row>
    <row r="35" spans="1:15" x14ac:dyDescent="0.3">
      <c r="A35" s="1"/>
      <c r="B35" s="148"/>
      <c r="C35" s="148"/>
      <c r="D35" s="148"/>
      <c r="E35" s="148"/>
      <c r="F35" s="148"/>
      <c r="G35" s="148"/>
      <c r="H35" s="1"/>
    </row>
    <row r="36" spans="1:15" x14ac:dyDescent="0.3">
      <c r="A36" s="1"/>
      <c r="B36" s="148"/>
      <c r="C36" s="148"/>
      <c r="D36" s="148"/>
      <c r="E36" s="148"/>
      <c r="F36" s="148"/>
      <c r="G36" s="148"/>
      <c r="H36" s="1"/>
    </row>
    <row r="37" spans="1:15" x14ac:dyDescent="0.3">
      <c r="A37" s="1"/>
      <c r="B37" s="148"/>
      <c r="C37" s="148"/>
      <c r="D37" s="148"/>
      <c r="E37" s="148"/>
      <c r="F37" s="148"/>
      <c r="G37" s="148"/>
      <c r="H37" s="1"/>
    </row>
    <row r="38" spans="1:15" ht="13.5" customHeight="1" x14ac:dyDescent="0.3">
      <c r="A38" s="1"/>
      <c r="B38" s="148"/>
      <c r="C38" s="148"/>
      <c r="D38" s="148"/>
      <c r="E38" s="148"/>
      <c r="F38" s="148"/>
      <c r="G38" s="148"/>
      <c r="H38" s="1"/>
    </row>
    <row r="39" spans="1:15" ht="5.45" customHeight="1" x14ac:dyDescent="0.3">
      <c r="A39" s="1"/>
      <c r="B39" s="42"/>
      <c r="C39" s="42"/>
      <c r="D39" s="42"/>
      <c r="E39" s="42"/>
      <c r="F39" s="42"/>
      <c r="G39" s="42"/>
      <c r="H39" s="1"/>
    </row>
    <row r="40" spans="1:15" ht="13.5" customHeight="1" x14ac:dyDescent="0.3">
      <c r="A40" s="1"/>
      <c r="B40" s="150" t="s">
        <v>182</v>
      </c>
      <c r="C40" s="150"/>
      <c r="D40" s="150"/>
      <c r="E40" s="150"/>
      <c r="F40" s="150"/>
      <c r="G40" s="150"/>
      <c r="H40" s="1"/>
    </row>
    <row r="41" spans="1:15" ht="13.5" customHeight="1" x14ac:dyDescent="0.3">
      <c r="A41" s="1"/>
      <c r="B41" s="150"/>
      <c r="C41" s="150"/>
      <c r="D41" s="150"/>
      <c r="E41" s="150"/>
      <c r="F41" s="150"/>
      <c r="G41" s="150"/>
      <c r="H41" s="1"/>
    </row>
    <row r="42" spans="1:15" ht="13.5" customHeight="1" x14ac:dyDescent="0.3">
      <c r="A42" s="1"/>
      <c r="B42" s="150"/>
      <c r="C42" s="150"/>
      <c r="D42" s="150"/>
      <c r="E42" s="150"/>
      <c r="F42" s="150"/>
      <c r="G42" s="150"/>
      <c r="H42" s="1"/>
    </row>
    <row r="43" spans="1:15" ht="13.5" customHeight="1" x14ac:dyDescent="0.3">
      <c r="A43" s="1"/>
      <c r="B43" s="150"/>
      <c r="C43" s="150"/>
      <c r="D43" s="150"/>
      <c r="E43" s="150"/>
      <c r="F43" s="150"/>
      <c r="G43" s="150"/>
      <c r="H43" s="1"/>
    </row>
    <row r="44" spans="1:15" ht="13.5" customHeight="1" x14ac:dyDescent="0.3">
      <c r="A44" s="1"/>
      <c r="B44" s="42"/>
      <c r="C44" s="42"/>
      <c r="D44" s="42"/>
      <c r="E44" s="42"/>
      <c r="F44" s="42"/>
      <c r="G44" s="42"/>
      <c r="H44" s="1"/>
    </row>
    <row r="45" spans="1:15" x14ac:dyDescent="0.3">
      <c r="A45" s="1"/>
      <c r="B45" s="149" t="s">
        <v>107</v>
      </c>
      <c r="C45" s="149"/>
      <c r="D45" s="149"/>
      <c r="E45" s="149"/>
      <c r="F45" s="149"/>
      <c r="G45" s="149"/>
      <c r="H45" s="1"/>
    </row>
    <row r="46" spans="1:15" x14ac:dyDescent="0.3">
      <c r="A46" s="1"/>
      <c r="B46" s="1"/>
      <c r="C46" s="1"/>
      <c r="D46" s="1"/>
      <c r="E46" s="1"/>
      <c r="F46" s="1"/>
      <c r="G46" s="1"/>
      <c r="H46" s="1"/>
    </row>
    <row r="47" spans="1:15" ht="18.75" customHeight="1" x14ac:dyDescent="0.3">
      <c r="A47" s="1"/>
      <c r="B47" s="1"/>
      <c r="C47" s="148" t="s">
        <v>190</v>
      </c>
      <c r="D47" s="148"/>
      <c r="E47" s="148"/>
      <c r="F47" s="148"/>
      <c r="G47" s="148"/>
      <c r="H47" s="1"/>
      <c r="O47" s="53"/>
    </row>
    <row r="48" spans="1:15" x14ac:dyDescent="0.3">
      <c r="A48" s="1"/>
      <c r="B48" s="1"/>
      <c r="C48" s="148" t="s">
        <v>265</v>
      </c>
      <c r="D48" s="148"/>
      <c r="E48" s="148"/>
      <c r="F48" s="148"/>
      <c r="G48" s="148"/>
      <c r="H48" s="1"/>
    </row>
    <row r="49" spans="1:11" ht="8.1" customHeight="1" x14ac:dyDescent="0.3">
      <c r="A49" s="1"/>
      <c r="B49" s="1"/>
      <c r="C49" s="148"/>
      <c r="D49" s="148"/>
      <c r="E49" s="148"/>
      <c r="F49" s="148"/>
      <c r="G49" s="148"/>
      <c r="H49" s="1"/>
      <c r="K49" s="47"/>
    </row>
    <row r="50" spans="1:11" ht="13.5" customHeight="1" x14ac:dyDescent="0.3">
      <c r="A50" s="1"/>
      <c r="B50" s="1"/>
      <c r="C50" s="148" t="s">
        <v>266</v>
      </c>
      <c r="D50" s="148"/>
      <c r="E50" s="148"/>
      <c r="F50" s="148"/>
      <c r="G50" s="148"/>
      <c r="H50" s="1"/>
    </row>
    <row r="51" spans="1:11" x14ac:dyDescent="0.3">
      <c r="A51" s="1"/>
      <c r="B51" s="1"/>
      <c r="C51" s="148"/>
      <c r="D51" s="148"/>
      <c r="E51" s="148"/>
      <c r="F51" s="148"/>
      <c r="G51" s="148"/>
      <c r="H51" s="1"/>
    </row>
    <row r="52" spans="1:11" x14ac:dyDescent="0.3">
      <c r="A52" s="1"/>
      <c r="B52" s="1"/>
      <c r="C52" s="148"/>
      <c r="D52" s="148"/>
      <c r="E52" s="148"/>
      <c r="F52" s="148"/>
      <c r="G52" s="148"/>
      <c r="H52" s="1"/>
    </row>
    <row r="53" spans="1:11" ht="4.5" customHeight="1" x14ac:dyDescent="0.3">
      <c r="A53" s="1"/>
      <c r="B53" s="1"/>
      <c r="C53" s="43"/>
      <c r="D53" s="43"/>
      <c r="E53" s="43"/>
      <c r="F53" s="43"/>
      <c r="G53" s="43"/>
      <c r="H53" s="1"/>
    </row>
    <row r="54" spans="1:11" ht="13.5" customHeight="1" x14ac:dyDescent="0.3">
      <c r="A54" s="1"/>
      <c r="B54" s="1"/>
      <c r="C54" s="148" t="s">
        <v>183</v>
      </c>
      <c r="D54" s="148"/>
      <c r="E54" s="148"/>
      <c r="F54" s="148"/>
      <c r="G54" s="148"/>
      <c r="H54" s="1"/>
    </row>
    <row r="55" spans="1:11" ht="14.45" customHeight="1" x14ac:dyDescent="0.3">
      <c r="A55" s="1"/>
      <c r="B55" s="1"/>
      <c r="C55" s="148"/>
      <c r="D55" s="148"/>
      <c r="E55" s="148"/>
      <c r="F55" s="148"/>
      <c r="G55" s="148"/>
      <c r="H55" s="1"/>
    </row>
    <row r="56" spans="1:11" ht="18.75" customHeight="1" x14ac:dyDescent="0.3">
      <c r="A56" s="1"/>
      <c r="B56" s="1"/>
      <c r="C56" s="42"/>
      <c r="D56" s="42"/>
      <c r="E56" s="42"/>
      <c r="F56" s="42"/>
      <c r="G56" s="42"/>
      <c r="H56" s="1"/>
    </row>
    <row r="57" spans="1:11" ht="12.6" customHeight="1" x14ac:dyDescent="0.3">
      <c r="A57" s="1"/>
      <c r="B57" s="1"/>
      <c r="C57" s="154" t="str">
        <f>IF(Achtergrond!E245,"Inrichting werkt conform good practice.", "Inrichting werkt niet conform good practice. De rekenresultaten van de tool zijn mogelijk niet betrouwbaar. Verificatie van de resultaten is niet mogelijk.")</f>
        <v>Inrichting werkt niet conform good practice. De rekenresultaten van de tool zijn mogelijk niet betrouwbaar. Verificatie van de resultaten is niet mogelijk.</v>
      </c>
      <c r="D57" s="154"/>
      <c r="E57" s="154"/>
      <c r="F57" s="154"/>
      <c r="G57" s="154"/>
      <c r="H57" s="1"/>
    </row>
    <row r="58" spans="1:11" ht="15.6" customHeight="1" x14ac:dyDescent="0.3">
      <c r="A58" s="1"/>
      <c r="B58" s="1"/>
      <c r="C58" s="154"/>
      <c r="D58" s="154"/>
      <c r="E58" s="154"/>
      <c r="F58" s="154"/>
      <c r="G58" s="154"/>
      <c r="H58" s="1"/>
    </row>
    <row r="59" spans="1:11" ht="7.5" customHeight="1" x14ac:dyDescent="0.3">
      <c r="A59" s="1"/>
      <c r="B59" s="1"/>
      <c r="C59" s="76"/>
      <c r="D59" s="76"/>
      <c r="E59" s="76"/>
      <c r="F59" s="76"/>
      <c r="G59" s="76"/>
      <c r="H59" s="1"/>
    </row>
    <row r="60" spans="1:11" ht="9.6" customHeight="1" x14ac:dyDescent="0.3">
      <c r="A60" s="1"/>
      <c r="B60" s="1"/>
      <c r="C60" s="152" t="str">
        <f>IF(Achtergrond!E246,"De resultaten voor bokashi en kleine kringloop zijn conservatief ingeschat en onzeker.", "")</f>
        <v/>
      </c>
      <c r="D60" s="152"/>
      <c r="E60" s="152"/>
      <c r="F60" s="152"/>
      <c r="G60" s="152"/>
      <c r="H60" s="77"/>
      <c r="I60" s="77"/>
      <c r="J60" s="77"/>
    </row>
    <row r="61" spans="1:11" ht="8.4499999999999993" customHeight="1" x14ac:dyDescent="0.3">
      <c r="A61" s="1"/>
      <c r="B61" s="1"/>
      <c r="C61" s="152"/>
      <c r="D61" s="152"/>
      <c r="E61" s="152"/>
      <c r="F61" s="152"/>
      <c r="G61" s="152"/>
      <c r="H61" s="1"/>
    </row>
    <row r="62" spans="1:11" x14ac:dyDescent="0.3">
      <c r="A62" s="1"/>
      <c r="B62" s="1"/>
      <c r="C62" s="1"/>
      <c r="D62" s="1"/>
      <c r="E62" s="1"/>
      <c r="F62" s="1"/>
      <c r="G62" s="1"/>
      <c r="H62" s="1"/>
    </row>
    <row r="63" spans="1:11" ht="21" customHeight="1" x14ac:dyDescent="0.3">
      <c r="A63" s="1"/>
      <c r="B63" s="153"/>
      <c r="C63" s="153"/>
      <c r="D63" s="153"/>
      <c r="E63" s="153"/>
      <c r="F63" s="153"/>
      <c r="G63" s="153"/>
      <c r="H63" s="1"/>
    </row>
    <row r="64" spans="1:11" x14ac:dyDescent="0.3">
      <c r="A64" s="1"/>
      <c r="B64" s="1"/>
      <c r="C64" s="1"/>
      <c r="D64" s="1"/>
      <c r="E64" s="1"/>
      <c r="F64" s="1"/>
      <c r="G64" s="1"/>
      <c r="H64" s="1"/>
    </row>
    <row r="65" spans="1:8" x14ac:dyDescent="0.3">
      <c r="A65" s="1"/>
      <c r="B65" s="1"/>
      <c r="C65" s="1"/>
      <c r="D65" s="1"/>
      <c r="E65" s="1"/>
      <c r="F65" s="1"/>
      <c r="G65" s="1"/>
      <c r="H65" s="1"/>
    </row>
    <row r="66" spans="1:8" x14ac:dyDescent="0.3">
      <c r="A66" s="2"/>
      <c r="B66" s="2"/>
      <c r="C66" s="2"/>
      <c r="D66" s="2"/>
      <c r="E66" s="2"/>
      <c r="F66" s="2"/>
      <c r="G66" s="2"/>
      <c r="H66" s="2"/>
    </row>
    <row r="67" spans="1:8" x14ac:dyDescent="0.3">
      <c r="A67" s="2"/>
      <c r="B67" s="2"/>
      <c r="C67" s="2"/>
      <c r="D67" s="2"/>
      <c r="E67" s="2"/>
      <c r="F67" s="2"/>
      <c r="G67" s="2"/>
      <c r="H67" s="2"/>
    </row>
    <row r="68" spans="1:8" x14ac:dyDescent="0.3">
      <c r="A68" s="2"/>
      <c r="B68" s="2"/>
      <c r="C68" s="2"/>
      <c r="D68" s="2"/>
      <c r="E68" s="2"/>
      <c r="F68" s="2"/>
      <c r="G68" s="2"/>
      <c r="H68" s="2"/>
    </row>
  </sheetData>
  <sheetProtection algorithmName="SHA-512" hashValue="CwGkyX87HHCoY5YdGRg8qhyGohQ6hPqwDRbFljxk5MEqjImuq46CYwWrLYO1LXJF19I00PgWeOTS0Wt3GBXShw==" saltValue="O8PaTMpIukDzjtsdpUm1Cg==" spinCount="100000" sheet="1" objects="1" scenarios="1" selectLockedCells="1"/>
  <mergeCells count="17">
    <mergeCell ref="C60:G61"/>
    <mergeCell ref="B63:G63"/>
    <mergeCell ref="C48:G49"/>
    <mergeCell ref="C54:G55"/>
    <mergeCell ref="C57:G58"/>
    <mergeCell ref="A1:H3"/>
    <mergeCell ref="B34:G38"/>
    <mergeCell ref="B45:G45"/>
    <mergeCell ref="B40:G43"/>
    <mergeCell ref="C50:G52"/>
    <mergeCell ref="B6:G11"/>
    <mergeCell ref="C14:G15"/>
    <mergeCell ref="C16:G18"/>
    <mergeCell ref="C19:G21"/>
    <mergeCell ref="C22:G23"/>
    <mergeCell ref="C24:G25"/>
    <mergeCell ref="C47:G4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76200</xdr:colOff>
                    <xdr:row>45</xdr:row>
                    <xdr:rowOff>142875</xdr:rowOff>
                  </from>
                  <to>
                    <xdr:col>2</xdr:col>
                    <xdr:colOff>104775</xdr:colOff>
                    <xdr:row>46</xdr:row>
                    <xdr:rowOff>200025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76200</xdr:colOff>
                    <xdr:row>46</xdr:row>
                    <xdr:rowOff>219075</xdr:rowOff>
                  </from>
                  <to>
                    <xdr:col>2</xdr:col>
                    <xdr:colOff>47625</xdr:colOff>
                    <xdr:row>48</xdr:row>
                    <xdr:rowOff>47625</xdr:rowOff>
                  </to>
                </anchor>
              </controlPr>
            </control>
          </mc:Choice>
        </mc:AlternateContent>
        <mc:AlternateContent xmlns:mc="http://schemas.openxmlformats.org/markup-compatibility/2006">
          <mc:Choice Requires="x14">
            <control shapeId="5124" r:id="rId6" name="Check Box 4">
              <controlPr locked="0" defaultSize="0" autoFill="0" autoLine="0" autoPict="0">
                <anchor moveWithCells="1">
                  <from>
                    <xdr:col>1</xdr:col>
                    <xdr:colOff>76200</xdr:colOff>
                    <xdr:row>49</xdr:row>
                    <xdr:rowOff>0</xdr:rowOff>
                  </from>
                  <to>
                    <xdr:col>2</xdr:col>
                    <xdr:colOff>114300</xdr:colOff>
                    <xdr:row>50</xdr:row>
                    <xdr:rowOff>28575</xdr:rowOff>
                  </to>
                </anchor>
              </controlPr>
            </control>
          </mc:Choice>
        </mc:AlternateContent>
        <mc:AlternateContent xmlns:mc="http://schemas.openxmlformats.org/markup-compatibility/2006">
          <mc:Choice Requires="x14">
            <control shapeId="5125" r:id="rId7" name="Check Box 5">
              <controlPr locked="0" defaultSize="0" autoFill="0" autoLine="0" autoPict="0">
                <anchor moveWithCells="1">
                  <from>
                    <xdr:col>1</xdr:col>
                    <xdr:colOff>76200</xdr:colOff>
                    <xdr:row>53</xdr:row>
                    <xdr:rowOff>0</xdr:rowOff>
                  </from>
                  <to>
                    <xdr:col>2</xdr:col>
                    <xdr:colOff>180975</xdr:colOff>
                    <xdr:row>54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50" id="{67B2CD68-8312-4F89-A45E-B4BC19A30CA4}">
            <xm:f>(Achtergrond!$E$245)</xm:f>
            <x14:dxf>
              <fill>
                <patternFill>
                  <bgColor theme="8" tint="0.79998168889431442"/>
                </patternFill>
              </fill>
              <border>
                <left/>
                <right/>
                <top/>
                <bottom/>
                <vertical/>
                <horizontal/>
              </border>
            </x14:dxf>
          </x14:cfRule>
          <xm:sqref>C57:G58</xm:sqref>
        </x14:conditionalFormatting>
        <x14:conditionalFormatting xmlns:xm="http://schemas.microsoft.com/office/excel/2006/main">
          <x14:cfRule type="expression" priority="651" id="{70D0DD0F-F08C-4F22-B9FD-878EE6D2273D}">
            <xm:f>Achtergrond!$E$246</xm:f>
            <x14:dxf>
              <fill>
                <patternFill>
                  <bgColor theme="2" tint="-0.24994659260841701"/>
                </patternFill>
              </fill>
              <border>
                <left/>
                <right/>
                <top/>
                <bottom/>
                <vertical/>
                <horizontal/>
              </border>
            </x14:dxf>
          </x14:cfRule>
          <xm:sqref>C60:G61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52"/>
  <sheetViews>
    <sheetView showRowColHeaders="0" zoomScaleNormal="100" workbookViewId="0">
      <selection activeCell="C7" sqref="C7"/>
    </sheetView>
  </sheetViews>
  <sheetFormatPr defaultColWidth="0" defaultRowHeight="15" zeroHeight="1" x14ac:dyDescent="0.3"/>
  <cols>
    <col min="1" max="1" width="2.5703125" customWidth="1"/>
    <col min="2" max="2" width="40" customWidth="1"/>
    <col min="3" max="3" width="10.42578125" customWidth="1"/>
    <col min="4" max="4" width="10.28515625" customWidth="1"/>
    <col min="5" max="5" width="8.85546875" customWidth="1"/>
    <col min="6" max="6" width="2.28515625" customWidth="1"/>
    <col min="7" max="7" width="10.42578125" customWidth="1"/>
    <col min="8" max="8" width="9.5703125" customWidth="1"/>
    <col min="9" max="9" width="5.85546875" customWidth="1"/>
    <col min="10" max="10" width="31.85546875" customWidth="1"/>
    <col min="11" max="11" width="7.5703125" customWidth="1"/>
    <col min="12" max="16384" width="7.5703125" hidden="1"/>
  </cols>
  <sheetData>
    <row r="1" spans="1:11" ht="13.5" customHeight="1" x14ac:dyDescent="0.3">
      <c r="A1" s="146" t="s">
        <v>284</v>
      </c>
      <c r="B1" s="146"/>
      <c r="C1" s="146"/>
      <c r="D1" s="146"/>
      <c r="E1" s="146"/>
      <c r="F1" s="146"/>
      <c r="G1" s="146"/>
      <c r="H1" s="146"/>
      <c r="I1" s="146"/>
      <c r="J1" s="146"/>
      <c r="K1" s="146"/>
    </row>
    <row r="2" spans="1:11" ht="13.5" customHeight="1" x14ac:dyDescent="0.3">
      <c r="A2" s="146"/>
      <c r="B2" s="146"/>
      <c r="C2" s="146"/>
      <c r="D2" s="146"/>
      <c r="E2" s="146"/>
      <c r="F2" s="146"/>
      <c r="G2" s="146"/>
      <c r="H2" s="146"/>
      <c r="I2" s="146"/>
      <c r="J2" s="146"/>
      <c r="K2" s="146"/>
    </row>
    <row r="3" spans="1:11" ht="13.5" customHeight="1" x14ac:dyDescent="0.3">
      <c r="A3" s="146"/>
      <c r="B3" s="146"/>
      <c r="C3" s="146"/>
      <c r="D3" s="146"/>
      <c r="E3" s="146"/>
      <c r="F3" s="146"/>
      <c r="G3" s="146"/>
      <c r="H3" s="146"/>
      <c r="I3" s="146"/>
      <c r="J3" s="146"/>
      <c r="K3" s="146"/>
    </row>
    <row r="4" spans="1:11" ht="146.44999999999999" customHeight="1" x14ac:dyDescent="0.3">
      <c r="A4" s="36"/>
      <c r="B4" s="36"/>
      <c r="C4" s="36"/>
      <c r="D4" s="36"/>
      <c r="E4" s="36"/>
      <c r="F4" s="36"/>
      <c r="G4" s="36"/>
      <c r="H4" s="1"/>
      <c r="I4" s="1"/>
      <c r="J4" s="1"/>
      <c r="K4" s="1"/>
    </row>
    <row r="5" spans="1:11" x14ac:dyDescent="0.3">
      <c r="A5" s="1"/>
      <c r="B5" s="1"/>
      <c r="C5" s="1"/>
      <c r="D5" s="1"/>
      <c r="E5" s="1"/>
      <c r="F5" s="1"/>
      <c r="G5" s="1"/>
      <c r="H5" s="1"/>
      <c r="I5" s="1"/>
      <c r="J5" s="1"/>
      <c r="K5" s="1"/>
    </row>
    <row r="6" spans="1:11" x14ac:dyDescent="0.3">
      <c r="A6" s="1"/>
      <c r="B6" s="3" t="s">
        <v>22</v>
      </c>
      <c r="C6" s="1"/>
      <c r="D6" s="1"/>
      <c r="E6" s="1"/>
      <c r="F6" s="1"/>
      <c r="G6" s="1"/>
      <c r="H6" s="1"/>
      <c r="I6" s="1"/>
      <c r="J6" s="1"/>
      <c r="K6" s="1"/>
    </row>
    <row r="7" spans="1:11" x14ac:dyDescent="0.3">
      <c r="A7" s="1"/>
      <c r="B7" s="4" t="s">
        <v>23</v>
      </c>
      <c r="C7" s="64"/>
      <c r="D7" s="1" t="s">
        <v>223</v>
      </c>
      <c r="E7" s="1"/>
      <c r="F7" s="1"/>
      <c r="G7" s="1"/>
      <c r="H7" s="1"/>
      <c r="I7" s="1" t="s">
        <v>286</v>
      </c>
      <c r="J7" s="61"/>
      <c r="K7" s="1"/>
    </row>
    <row r="8" spans="1:11" ht="21.95" customHeight="1" x14ac:dyDescent="0.3">
      <c r="A8" s="1"/>
      <c r="B8" s="1"/>
      <c r="C8" s="1"/>
      <c r="D8" s="1"/>
      <c r="E8" s="1"/>
      <c r="F8" s="1"/>
      <c r="G8" s="1"/>
      <c r="H8" s="1"/>
      <c r="I8" s="1"/>
      <c r="J8" s="1"/>
      <c r="K8" s="1"/>
    </row>
    <row r="9" spans="1:11" ht="21.95" customHeight="1" x14ac:dyDescent="0.3">
      <c r="A9" s="1"/>
      <c r="B9" s="121" t="s">
        <v>283</v>
      </c>
      <c r="C9" s="1"/>
      <c r="D9" s="1"/>
      <c r="E9" s="1"/>
      <c r="F9" s="1"/>
      <c r="G9" s="1"/>
      <c r="H9" s="1"/>
      <c r="I9" s="1"/>
      <c r="J9" s="1"/>
      <c r="K9" s="1"/>
    </row>
    <row r="10" spans="1:11" ht="30" x14ac:dyDescent="0.3">
      <c r="A10" s="1"/>
      <c r="B10" s="1"/>
      <c r="C10" s="122" t="str">
        <f>Achtergrond!L220</f>
        <v>Gewicht (ton)</v>
      </c>
      <c r="D10" s="122" t="s">
        <v>21</v>
      </c>
      <c r="E10" s="1"/>
      <c r="F10" s="1"/>
      <c r="G10" s="1"/>
      <c r="H10" s="1"/>
      <c r="I10" s="1"/>
      <c r="J10" s="1"/>
      <c r="K10" s="1"/>
    </row>
    <row r="11" spans="1:11" x14ac:dyDescent="0.3">
      <c r="A11" s="1"/>
      <c r="B11" s="4" t="s">
        <v>167</v>
      </c>
      <c r="C11" s="64"/>
      <c r="D11" s="65"/>
      <c r="E11" s="1"/>
      <c r="F11" s="1"/>
      <c r="G11" s="1"/>
      <c r="H11" s="1"/>
      <c r="I11" s="1" t="s">
        <v>286</v>
      </c>
      <c r="J11" s="61"/>
      <c r="K11" s="1"/>
    </row>
    <row r="12" spans="1:11" x14ac:dyDescent="0.3">
      <c r="A12" s="1"/>
      <c r="B12" s="4" t="s">
        <v>168</v>
      </c>
      <c r="C12" s="64"/>
      <c r="D12" s="65"/>
      <c r="E12" s="1"/>
      <c r="F12" s="1"/>
      <c r="G12" s="1"/>
      <c r="H12" s="1"/>
      <c r="I12" s="1" t="s">
        <v>286</v>
      </c>
      <c r="J12" s="61"/>
      <c r="K12" s="1"/>
    </row>
    <row r="13" spans="1:11" x14ac:dyDescent="0.3">
      <c r="A13" s="1"/>
      <c r="B13" s="4" t="s">
        <v>169</v>
      </c>
      <c r="C13" s="64"/>
      <c r="D13" s="65"/>
      <c r="E13" s="1"/>
      <c r="F13" s="1"/>
      <c r="G13" s="1"/>
      <c r="H13" s="1"/>
      <c r="I13" s="1" t="s">
        <v>286</v>
      </c>
      <c r="J13" s="61"/>
      <c r="K13" s="1"/>
    </row>
    <row r="14" spans="1:11" x14ac:dyDescent="0.3">
      <c r="A14" s="1"/>
      <c r="B14" s="123" t="s">
        <v>241</v>
      </c>
      <c r="C14" s="1"/>
      <c r="D14" s="1"/>
      <c r="E14" s="1"/>
      <c r="F14" s="1"/>
      <c r="G14" s="1"/>
      <c r="H14" s="1"/>
      <c r="I14" s="1"/>
      <c r="J14" s="1"/>
      <c r="K14" s="1"/>
    </row>
    <row r="15" spans="1:11" x14ac:dyDescent="0.3">
      <c r="A15" s="1"/>
      <c r="B15" s="123" t="s">
        <v>242</v>
      </c>
      <c r="C15" s="1"/>
      <c r="D15" s="1"/>
      <c r="E15" s="1"/>
      <c r="F15" s="1"/>
      <c r="G15" s="1"/>
      <c r="H15" s="1"/>
      <c r="I15" s="1"/>
      <c r="J15" s="1"/>
      <c r="K15" s="1"/>
    </row>
    <row r="16" spans="1:11" x14ac:dyDescent="0.3">
      <c r="A16" s="1"/>
      <c r="B16" s="1"/>
      <c r="C16" s="1"/>
      <c r="D16" s="1"/>
      <c r="E16" s="1"/>
      <c r="F16" s="1"/>
      <c r="G16" s="1"/>
      <c r="H16" s="1"/>
      <c r="I16" s="1"/>
      <c r="J16" s="1"/>
      <c r="K16" s="1"/>
    </row>
    <row r="17" spans="1:11" ht="24.95" customHeight="1" x14ac:dyDescent="0.3">
      <c r="A17" s="1"/>
      <c r="B17" s="121" t="s">
        <v>218</v>
      </c>
      <c r="C17" s="1"/>
      <c r="D17" s="1"/>
      <c r="E17" s="1"/>
      <c r="F17" s="1"/>
      <c r="G17" s="1"/>
      <c r="H17" s="1"/>
      <c r="I17" s="1"/>
      <c r="J17" s="1"/>
      <c r="K17" s="1"/>
    </row>
    <row r="18" spans="1:11" x14ac:dyDescent="0.3">
      <c r="A18" s="1"/>
      <c r="B18" s="4" t="s">
        <v>25</v>
      </c>
      <c r="C18" s="64"/>
      <c r="D18" s="1" t="s">
        <v>224</v>
      </c>
      <c r="E18" s="1"/>
      <c r="F18" s="1"/>
      <c r="G18" s="1"/>
      <c r="H18" s="1"/>
      <c r="I18" s="1" t="s">
        <v>286</v>
      </c>
      <c r="J18" s="61"/>
      <c r="K18" s="1"/>
    </row>
    <row r="19" spans="1:11" x14ac:dyDescent="0.3">
      <c r="A19" s="1"/>
      <c r="B19" s="4" t="s">
        <v>285</v>
      </c>
      <c r="C19" s="64"/>
      <c r="D19" s="1" t="s">
        <v>224</v>
      </c>
      <c r="E19" s="1"/>
      <c r="F19" s="1"/>
      <c r="G19" s="1"/>
      <c r="H19" s="1"/>
      <c r="I19" s="1" t="s">
        <v>286</v>
      </c>
      <c r="J19" s="61"/>
      <c r="K19" s="1"/>
    </row>
    <row r="20" spans="1:11" x14ac:dyDescent="0.3">
      <c r="A20" s="1"/>
      <c r="B20" s="4" t="s">
        <v>26</v>
      </c>
      <c r="C20" s="64"/>
      <c r="D20" s="1" t="s">
        <v>224</v>
      </c>
      <c r="E20" s="1"/>
      <c r="F20" s="1"/>
      <c r="G20" s="1"/>
      <c r="H20" s="1"/>
      <c r="I20" s="1" t="s">
        <v>286</v>
      </c>
      <c r="J20" s="61"/>
      <c r="K20" s="1"/>
    </row>
    <row r="21" spans="1:11" x14ac:dyDescent="0.3">
      <c r="A21" s="1"/>
      <c r="B21" s="4" t="s">
        <v>27</v>
      </c>
      <c r="C21" s="64"/>
      <c r="D21" s="1" t="s">
        <v>224</v>
      </c>
      <c r="E21" s="1"/>
      <c r="F21" s="1"/>
      <c r="G21" s="1"/>
      <c r="H21" s="1"/>
      <c r="I21" s="1" t="s">
        <v>286</v>
      </c>
      <c r="J21" s="61"/>
      <c r="K21" s="1"/>
    </row>
    <row r="22" spans="1:11" x14ac:dyDescent="0.3">
      <c r="A22" s="1"/>
      <c r="B22" s="4" t="s">
        <v>28</v>
      </c>
      <c r="C22" s="64"/>
      <c r="D22" s="1" t="s">
        <v>224</v>
      </c>
      <c r="E22" s="1"/>
      <c r="F22" s="1"/>
      <c r="G22" s="1"/>
      <c r="H22" s="1"/>
      <c r="I22" s="1" t="s">
        <v>286</v>
      </c>
      <c r="J22" s="61"/>
      <c r="K22" s="1"/>
    </row>
    <row r="23" spans="1:11" x14ac:dyDescent="0.3">
      <c r="A23" s="1"/>
      <c r="B23" s="1"/>
      <c r="C23" s="1"/>
      <c r="D23" s="1"/>
      <c r="E23" s="1"/>
      <c r="F23" s="1"/>
      <c r="G23" s="1"/>
      <c r="H23" s="1"/>
      <c r="I23" s="1"/>
      <c r="J23" s="1"/>
      <c r="K23" s="1"/>
    </row>
    <row r="24" spans="1:11" x14ac:dyDescent="0.3">
      <c r="A24" s="1"/>
      <c r="B24" s="4" t="s">
        <v>29</v>
      </c>
      <c r="C24" s="64"/>
      <c r="D24" s="1" t="s">
        <v>225</v>
      </c>
      <c r="E24" s="1"/>
      <c r="F24" s="1"/>
      <c r="G24" s="1"/>
      <c r="H24" s="1"/>
      <c r="I24" s="1" t="s">
        <v>286</v>
      </c>
      <c r="J24" s="61"/>
      <c r="K24" s="1"/>
    </row>
    <row r="25" spans="1:11" x14ac:dyDescent="0.3">
      <c r="A25" s="1"/>
      <c r="B25" s="4" t="s">
        <v>30</v>
      </c>
      <c r="C25" s="64"/>
      <c r="D25" s="1" t="s">
        <v>226</v>
      </c>
      <c r="E25" s="1"/>
      <c r="F25" s="1"/>
      <c r="G25" s="1"/>
      <c r="H25" s="1"/>
      <c r="I25" s="1" t="s">
        <v>286</v>
      </c>
      <c r="J25" s="61"/>
      <c r="K25" s="1"/>
    </row>
    <row r="26" spans="1:11" x14ac:dyDescent="0.3">
      <c r="A26" s="1"/>
      <c r="B26" s="4" t="s">
        <v>316</v>
      </c>
      <c r="C26" s="64"/>
      <c r="D26" s="1" t="s">
        <v>225</v>
      </c>
      <c r="E26" s="1"/>
      <c r="F26" s="1"/>
      <c r="G26" s="1"/>
      <c r="H26" s="1"/>
      <c r="I26" s="1" t="s">
        <v>286</v>
      </c>
      <c r="J26" s="61"/>
      <c r="K26" s="1"/>
    </row>
    <row r="27" spans="1:11" x14ac:dyDescent="0.3">
      <c r="A27" s="1"/>
      <c r="B27" s="1"/>
      <c r="C27" s="1"/>
      <c r="D27" s="1"/>
      <c r="E27" s="1"/>
      <c r="F27" s="1"/>
      <c r="G27" s="1"/>
      <c r="H27" s="1"/>
      <c r="I27" s="1"/>
      <c r="J27" s="1"/>
      <c r="K27" s="1"/>
    </row>
    <row r="28" spans="1:11" x14ac:dyDescent="0.3">
      <c r="A28" s="1"/>
      <c r="B28" s="3" t="s">
        <v>273</v>
      </c>
      <c r="C28" s="1"/>
      <c r="D28" s="1"/>
      <c r="E28" s="1"/>
      <c r="F28" s="1"/>
      <c r="G28" s="1"/>
      <c r="H28" s="1"/>
      <c r="I28" s="1"/>
      <c r="J28" s="1"/>
      <c r="K28" s="1"/>
    </row>
    <row r="29" spans="1:11" ht="77.25" customHeight="1" x14ac:dyDescent="0.3">
      <c r="A29" s="1"/>
      <c r="B29" s="156" t="s">
        <v>304</v>
      </c>
      <c r="C29" s="156"/>
      <c r="D29" s="156"/>
      <c r="E29" s="156"/>
      <c r="F29" s="156"/>
      <c r="G29" s="156"/>
      <c r="H29" s="156"/>
      <c r="I29" s="124"/>
      <c r="J29" s="124"/>
      <c r="K29" s="1"/>
    </row>
    <row r="30" spans="1:11" x14ac:dyDescent="0.3">
      <c r="A30" s="1"/>
      <c r="B30" s="124"/>
      <c r="C30" s="124"/>
      <c r="D30" s="124"/>
      <c r="E30" s="124"/>
      <c r="F30" s="124"/>
      <c r="G30" s="1"/>
      <c r="H30" s="1"/>
      <c r="I30" s="1"/>
      <c r="J30" s="1"/>
      <c r="K30" s="1"/>
    </row>
    <row r="31" spans="1:11" x14ac:dyDescent="0.3">
      <c r="A31" s="1"/>
      <c r="B31" s="124"/>
      <c r="C31" s="124"/>
      <c r="D31" s="124"/>
      <c r="E31" s="124"/>
      <c r="F31" s="124"/>
      <c r="G31" s="1"/>
      <c r="H31" s="1"/>
      <c r="I31" s="1"/>
      <c r="J31" s="1"/>
      <c r="K31" s="1"/>
    </row>
    <row r="32" spans="1:11" x14ac:dyDescent="0.3">
      <c r="A32" s="1"/>
      <c r="B32" s="1"/>
      <c r="C32" s="1"/>
      <c r="D32" s="3"/>
      <c r="E32" s="1"/>
      <c r="F32" s="1"/>
      <c r="G32" s="3"/>
      <c r="H32" s="1"/>
      <c r="I32" s="1"/>
      <c r="J32" s="1"/>
      <c r="K32" s="1"/>
    </row>
    <row r="33" spans="1:11" x14ac:dyDescent="0.3">
      <c r="A33" s="1"/>
      <c r="B33" s="1" t="s">
        <v>0</v>
      </c>
      <c r="C33" s="1"/>
      <c r="D33" s="51"/>
      <c r="E33" s="1" t="str">
        <f>IF(Achtergrond!$E$262, "ton/jaar"," ")</f>
        <v xml:space="preserve"> </v>
      </c>
      <c r="F33" s="1"/>
      <c r="G33" s="51"/>
      <c r="H33" s="1" t="str">
        <f>IF(Achtergrond!E262, "km"," ")</f>
        <v xml:space="preserve"> </v>
      </c>
      <c r="I33" s="1" t="str">
        <f>IF(Achtergrond!$E$262, "Bron"," ")</f>
        <v xml:space="preserve"> </v>
      </c>
      <c r="J33" s="51"/>
      <c r="K33" s="1"/>
    </row>
    <row r="34" spans="1:11" x14ac:dyDescent="0.3">
      <c r="A34" s="1"/>
      <c r="B34" s="1" t="s">
        <v>6</v>
      </c>
      <c r="C34" s="1"/>
      <c r="D34" s="51"/>
      <c r="E34" s="1" t="str">
        <f>IF(Achtergrond!E263, "ton/jaar"," ")</f>
        <v xml:space="preserve"> </v>
      </c>
      <c r="F34" s="1"/>
      <c r="G34" s="51"/>
      <c r="H34" s="1" t="str">
        <f>IF(Achtergrond!E263, "km"," ")</f>
        <v xml:space="preserve"> </v>
      </c>
      <c r="I34" s="1" t="str">
        <f>IF(Achtergrond!$E$263, "Bron"," ")</f>
        <v xml:space="preserve"> </v>
      </c>
      <c r="J34" s="51"/>
      <c r="K34" s="1"/>
    </row>
    <row r="35" spans="1:11" x14ac:dyDescent="0.3">
      <c r="A35" s="1"/>
      <c r="B35" s="1" t="s">
        <v>33</v>
      </c>
      <c r="C35" s="1"/>
      <c r="D35" s="51"/>
      <c r="E35" s="1" t="str">
        <f>IF(Achtergrond!E264, "ton/jaar"," ")</f>
        <v xml:space="preserve"> </v>
      </c>
      <c r="F35" s="1"/>
      <c r="G35" s="51"/>
      <c r="H35" s="1" t="str">
        <f>IF(Achtergrond!E264, "km"," ")</f>
        <v xml:space="preserve"> </v>
      </c>
      <c r="I35" s="1" t="str">
        <f>IF(Achtergrond!$E$264, "Bron"," ")</f>
        <v xml:space="preserve"> </v>
      </c>
      <c r="J35" s="51"/>
      <c r="K35" s="1"/>
    </row>
    <row r="36" spans="1:11" x14ac:dyDescent="0.3">
      <c r="A36" s="1"/>
      <c r="B36" s="1" t="s">
        <v>14</v>
      </c>
      <c r="C36" s="1"/>
      <c r="D36" s="51"/>
      <c r="E36" s="1" t="str">
        <f>IF(Achtergrond!E265, "ton/jaar"," ")</f>
        <v xml:space="preserve"> </v>
      </c>
      <c r="F36" s="1"/>
      <c r="G36" s="51"/>
      <c r="H36" s="1" t="str">
        <f>IF(Achtergrond!E265, "km"," ")</f>
        <v xml:space="preserve"> </v>
      </c>
      <c r="I36" s="1" t="str">
        <f>IF(Achtergrond!$E$265, "Bron"," ")</f>
        <v xml:space="preserve"> </v>
      </c>
      <c r="J36" s="51"/>
      <c r="K36" s="1"/>
    </row>
    <row r="37" spans="1:11" x14ac:dyDescent="0.3">
      <c r="A37" s="1"/>
      <c r="B37" s="1" t="s">
        <v>131</v>
      </c>
      <c r="C37" s="1"/>
      <c r="D37" s="51"/>
      <c r="E37" s="1" t="str">
        <f>IF(Achtergrond!E266, "ton/jaar"," ")</f>
        <v xml:space="preserve"> </v>
      </c>
      <c r="F37" s="1"/>
      <c r="G37" s="51"/>
      <c r="H37" s="1" t="str">
        <f>IF(Achtergrond!E266, "km"," ")</f>
        <v xml:space="preserve"> </v>
      </c>
      <c r="I37" s="1" t="str">
        <f>IF(Achtergrond!$E$266, "Bron"," ")</f>
        <v xml:space="preserve"> </v>
      </c>
      <c r="J37" s="51"/>
      <c r="K37" s="1"/>
    </row>
    <row r="38" spans="1:11" x14ac:dyDescent="0.3">
      <c r="A38" s="1"/>
      <c r="B38" s="1" t="s">
        <v>287</v>
      </c>
      <c r="C38" s="1"/>
      <c r="D38" s="51"/>
      <c r="E38" s="1" t="str">
        <f>IF(Achtergrond!E267, "ton/jaar"," ")</f>
        <v xml:space="preserve"> </v>
      </c>
      <c r="F38" s="1"/>
      <c r="G38" s="1"/>
      <c r="H38" s="1"/>
      <c r="I38" s="1" t="str">
        <f>IF(Achtergrond!$E$267, "Bron"," ")</f>
        <v xml:space="preserve"> </v>
      </c>
      <c r="J38" s="51"/>
      <c r="K38" s="1"/>
    </row>
    <row r="39" spans="1:11" x14ac:dyDescent="0.3">
      <c r="A39" s="1"/>
      <c r="B39" s="123" t="s">
        <v>282</v>
      </c>
      <c r="C39" s="1"/>
      <c r="D39" s="1"/>
      <c r="E39" s="1"/>
      <c r="F39" s="1"/>
      <c r="G39" s="51"/>
      <c r="H39" s="1" t="str">
        <f>IF(Achtergrond!E267, "km"," ")</f>
        <v xml:space="preserve"> </v>
      </c>
      <c r="I39" s="1" t="str">
        <f>IF(Achtergrond!$E$267, "Bron"," ")</f>
        <v xml:space="preserve"> </v>
      </c>
      <c r="J39" s="51"/>
      <c r="K39" s="1"/>
    </row>
    <row r="40" spans="1:11" x14ac:dyDescent="0.3">
      <c r="A40" s="1"/>
      <c r="B40" s="1" t="s">
        <v>34</v>
      </c>
      <c r="C40" s="1"/>
      <c r="D40" s="51"/>
      <c r="E40" s="1" t="str">
        <f>IF(Achtergrond!E268, "ton/jaar"," ")</f>
        <v xml:space="preserve"> </v>
      </c>
      <c r="F40" s="1"/>
      <c r="G40" s="51"/>
      <c r="H40" s="1" t="str">
        <f>IF(Achtergrond!E268, "km"," ")</f>
        <v xml:space="preserve"> </v>
      </c>
      <c r="I40" s="1" t="str">
        <f>IF(Achtergrond!$E$268, "Bron"," ")</f>
        <v xml:space="preserve"> </v>
      </c>
      <c r="J40" s="51"/>
      <c r="K40" s="1"/>
    </row>
    <row r="41" spans="1:11" x14ac:dyDescent="0.3">
      <c r="A41" s="1"/>
      <c r="B41" s="1" t="s">
        <v>36</v>
      </c>
      <c r="C41" s="1"/>
      <c r="D41" s="51"/>
      <c r="E41" s="1" t="str">
        <f>IF(Achtergrond!E269, "m3/jaar"," ")</f>
        <v xml:space="preserve"> </v>
      </c>
      <c r="F41" s="1"/>
      <c r="G41" s="125"/>
      <c r="H41" s="1"/>
      <c r="I41" s="1" t="str">
        <f>IF(Achtergrond!$E$269, "Bron"," ")</f>
        <v xml:space="preserve"> </v>
      </c>
      <c r="J41" s="51"/>
      <c r="K41" s="1"/>
    </row>
    <row r="42" spans="1:11" x14ac:dyDescent="0.3">
      <c r="A42" s="1"/>
      <c r="B42" s="1" t="s">
        <v>243</v>
      </c>
      <c r="C42" s="1"/>
      <c r="D42" s="51"/>
      <c r="E42" s="1" t="str">
        <f>IF(Achtergrond!E270, "ton/jaar"," ")</f>
        <v xml:space="preserve"> </v>
      </c>
      <c r="F42" s="1"/>
      <c r="G42" s="51"/>
      <c r="H42" s="1" t="str">
        <f>IF(Achtergrond!E270, "km"," ")</f>
        <v xml:space="preserve"> </v>
      </c>
      <c r="I42" s="1" t="str">
        <f>IF(Achtergrond!$E$270, "Bron"," ")</f>
        <v xml:space="preserve"> </v>
      </c>
      <c r="J42" s="51"/>
      <c r="K42" s="1"/>
    </row>
    <row r="43" spans="1:11" x14ac:dyDescent="0.3">
      <c r="A43" s="1"/>
      <c r="B43" s="1" t="s">
        <v>295</v>
      </c>
      <c r="C43" s="1"/>
      <c r="D43" s="51"/>
      <c r="E43" s="1" t="str">
        <f>IF(Achtergrond!E272, "ton/jaar"," ")</f>
        <v xml:space="preserve"> </v>
      </c>
      <c r="F43" s="1"/>
      <c r="G43" s="51"/>
      <c r="H43" s="1" t="str">
        <f>IF(Achtergrond!E272, "km"," ")</f>
        <v xml:space="preserve"> </v>
      </c>
      <c r="I43" s="1" t="str">
        <f>IF(Achtergrond!$E$272, "Bron"," ")</f>
        <v xml:space="preserve"> </v>
      </c>
      <c r="J43" s="51"/>
      <c r="K43" s="1"/>
    </row>
    <row r="44" spans="1:11" x14ac:dyDescent="0.3">
      <c r="A44" s="1"/>
      <c r="B44" s="1" t="s">
        <v>35</v>
      </c>
      <c r="C44" s="1"/>
      <c r="D44" s="51"/>
      <c r="E44" s="1" t="str">
        <f>IF(Achtergrond!E271, "ton/jaar"," ")</f>
        <v xml:space="preserve"> </v>
      </c>
      <c r="F44" s="1"/>
      <c r="G44" s="51"/>
      <c r="H44" s="1" t="str">
        <f>IF(Achtergrond!E271, "km"," ")</f>
        <v xml:space="preserve"> </v>
      </c>
      <c r="I44" s="1" t="str">
        <f>IF(Achtergrond!$E$271, "Bron"," ")</f>
        <v xml:space="preserve"> </v>
      </c>
      <c r="J44" s="51"/>
      <c r="K44" s="1"/>
    </row>
    <row r="45" spans="1:11" x14ac:dyDescent="0.3">
      <c r="A45" s="1"/>
      <c r="B45" s="1"/>
      <c r="C45" s="1"/>
      <c r="D45" s="1"/>
      <c r="E45" s="1"/>
      <c r="F45" s="1"/>
      <c r="G45" s="126"/>
      <c r="H45" s="1"/>
      <c r="I45" s="1"/>
      <c r="J45" s="1"/>
      <c r="K45" s="1"/>
    </row>
    <row r="46" spans="1:11" x14ac:dyDescent="0.3">
      <c r="A46" s="1"/>
      <c r="B46" s="1"/>
      <c r="C46" s="1"/>
      <c r="D46" s="1"/>
      <c r="E46" s="1"/>
      <c r="F46" s="1"/>
      <c r="G46" s="126"/>
      <c r="H46" s="1"/>
      <c r="I46" s="1"/>
      <c r="J46" s="1"/>
      <c r="K46" s="1"/>
    </row>
    <row r="47" spans="1:11" ht="21.6" customHeight="1" x14ac:dyDescent="0.3">
      <c r="A47" s="1"/>
      <c r="B47" s="153"/>
      <c r="C47" s="153"/>
      <c r="D47" s="153"/>
      <c r="E47" s="153"/>
      <c r="F47" s="153"/>
      <c r="G47" s="153"/>
      <c r="H47" s="1"/>
      <c r="I47" s="1"/>
      <c r="J47" s="1"/>
      <c r="K47" s="1"/>
    </row>
    <row r="48" spans="1:11" x14ac:dyDescent="0.3">
      <c r="A48" s="1"/>
      <c r="B48" s="1"/>
      <c r="C48" s="1"/>
      <c r="D48" s="1"/>
      <c r="E48" s="1"/>
      <c r="F48" s="1"/>
      <c r="G48" s="1"/>
      <c r="H48" s="1"/>
      <c r="I48" s="1"/>
      <c r="J48" s="1"/>
      <c r="K48" s="1"/>
    </row>
    <row r="49" spans="1:11" x14ac:dyDescent="0.3">
      <c r="A49" s="1"/>
      <c r="B49" s="1"/>
      <c r="C49" s="1"/>
      <c r="D49" s="1"/>
      <c r="E49" s="1"/>
      <c r="F49" s="1"/>
      <c r="G49" s="1"/>
      <c r="H49" s="1"/>
      <c r="I49" s="1"/>
      <c r="J49" s="1"/>
      <c r="K49" s="1"/>
    </row>
    <row r="50" spans="1:11" x14ac:dyDescent="0.3">
      <c r="A50" s="155"/>
      <c r="B50" s="155"/>
      <c r="C50" s="155"/>
      <c r="D50" s="155"/>
      <c r="E50" s="155"/>
      <c r="F50" s="155"/>
      <c r="G50" s="155"/>
      <c r="H50" s="155"/>
      <c r="I50" s="155"/>
      <c r="J50" s="155"/>
      <c r="K50" s="155"/>
    </row>
    <row r="51" spans="1:11" x14ac:dyDescent="0.3">
      <c r="A51" s="155"/>
      <c r="B51" s="155"/>
      <c r="C51" s="155"/>
      <c r="D51" s="155"/>
      <c r="E51" s="155"/>
      <c r="F51" s="155"/>
      <c r="G51" s="155"/>
      <c r="H51" s="155"/>
      <c r="I51" s="155"/>
      <c r="J51" s="155"/>
      <c r="K51" s="155"/>
    </row>
    <row r="52" spans="1:11" x14ac:dyDescent="0.3">
      <c r="A52" s="155"/>
      <c r="B52" s="155"/>
      <c r="C52" s="155"/>
      <c r="D52" s="155"/>
      <c r="E52" s="155"/>
      <c r="F52" s="155"/>
      <c r="G52" s="155"/>
      <c r="H52" s="155"/>
      <c r="I52" s="155"/>
      <c r="J52" s="155"/>
      <c r="K52" s="155"/>
    </row>
  </sheetData>
  <sheetProtection algorithmName="SHA-512" hashValue="+UTto27ABr2DknQ2vM5TA1uUU8TsONZbOYnpYsWl/wt8Mke1UOASTsUiXEn19PWfQw4+z5HOE6h7ifRJA6XNzg==" saltValue="s8MkQvNTsze7PKB4ivto9A==" spinCount="100000" sheet="1" objects="1" scenarios="1" selectLockedCells="1"/>
  <mergeCells count="4">
    <mergeCell ref="B47:G47"/>
    <mergeCell ref="A1:K3"/>
    <mergeCell ref="A50:K52"/>
    <mergeCell ref="B29:H29"/>
  </mergeCells>
  <dataValidations count="6">
    <dataValidation errorStyle="warning" operator="lessThanOrEqual" allowBlank="1" showInputMessage="1" showErrorMessage="1" errorTitle="Foutmelding" error="Er gaat meer dan 100% van het sterk houtig materiaal naar de bio-energiecentrale. Controleer of deze gegevens kloppen." sqref="D33" xr:uid="{00000000-0002-0000-0100-000000000000}"/>
    <dataValidation errorStyle="warning" operator="lessThanOrEqual" showErrorMessage="1" errorTitle="Let op!" error="Er mag in totaal maximaal 50% van de aangevoerde maaisels naar vergisting (co- en gft-vergisting), bokashi en kleine kringloop samen gaan. " sqref="D36" xr:uid="{00000000-0002-0000-0100-000003000000}"/>
    <dataValidation errorStyle="warning" operator="lessThanOrEqual" showInputMessage="1" showErrorMessage="1" errorTitle="Let op!" error="Er mag in totaal maximaal 50% van de aangevoerde maaisels naar vergisting (co- en gft-vergisting), bokashi en kleine kringloop samen gaan. " sqref="D34:D35 D37" xr:uid="{00000000-0002-0000-0100-000007000000}"/>
    <dataValidation type="whole" errorStyle="warning" operator="equal" allowBlank="1" showErrorMessage="1" errorTitle="Waarschuwing" error="Het totale gewicht van het getransporteerde materiaal (met de verschillende vervoersmiddelen samen) is niet gelijk aan de totale hoeveelheid aangeleverd groenafval. Controleer of de ingevoerde gegevens kloppen. " promptTitle="Waarschuwing" sqref="C11" xr:uid="{00000000-0002-0000-0100-000004000000}">
      <formula1>C7-C12-C13</formula1>
    </dataValidation>
    <dataValidation type="whole" errorStyle="warning" operator="equal" allowBlank="1" showInputMessage="1" showErrorMessage="1" errorTitle="Waarschuwing" error="Het totale gewicht van het getransporteerde materiaal (met de verschillende vervoersmiddelen samen) is niet gelijk aan de totale hoeveelheid aangeleverd groenafval. Controleer of de ingevoerde gegevens kloppen. " sqref="C12" xr:uid="{00000000-0002-0000-0100-000005000000}">
      <formula1>C7-C11-C13</formula1>
    </dataValidation>
    <dataValidation type="whole" errorStyle="warning" operator="equal" allowBlank="1" showInputMessage="1" showErrorMessage="1" errorTitle="Waarschuwing" error="Het totale gewicht van het getransporteerde materiaal (met de verschillende vervoersmiddelen samen) is niet gelijk aan de totale hoeveelheid aangeleverd groenafval. Controleer of de ingevoerde gegevens kloppen. " sqref="C13" xr:uid="{00000000-0002-0000-0100-000006000000}">
      <formula1>C7-C11-C12</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b_hout_bio">
              <controlPr locked="0" defaultSize="0" autoFill="0" autoLine="0" autoPict="0" macro="[0]!checkboxes_change">
                <anchor moveWithCells="1">
                  <from>
                    <xdr:col>2</xdr:col>
                    <xdr:colOff>9525</xdr:colOff>
                    <xdr:row>32</xdr:row>
                    <xdr:rowOff>0</xdr:rowOff>
                  </from>
                  <to>
                    <xdr:col>2</xdr:col>
                    <xdr:colOff>609600</xdr:colOff>
                    <xdr:row>33</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xdr:col>
                    <xdr:colOff>9525</xdr:colOff>
                    <xdr:row>37</xdr:row>
                    <xdr:rowOff>0</xdr:rowOff>
                  </from>
                  <to>
                    <xdr:col>3</xdr:col>
                    <xdr:colOff>219075</xdr:colOff>
                    <xdr:row>38</xdr:row>
                    <xdr:rowOff>28575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2</xdr:col>
                    <xdr:colOff>9525</xdr:colOff>
                    <xdr:row>35</xdr:row>
                    <xdr:rowOff>0</xdr:rowOff>
                  </from>
                  <to>
                    <xdr:col>3</xdr:col>
                    <xdr:colOff>219075</xdr:colOff>
                    <xdr:row>36</xdr:row>
                    <xdr:rowOff>28575</xdr:rowOff>
                  </to>
                </anchor>
              </controlPr>
            </control>
          </mc:Choice>
        </mc:AlternateContent>
        <mc:AlternateContent xmlns:mc="http://schemas.openxmlformats.org/markup-compatibility/2006">
          <mc:Choice Requires="x14">
            <control shapeId="4102" r:id="rId7" name="Check Box 6">
              <controlPr locked="0" defaultSize="0" autoFill="0" autoLine="0" autoPict="0" macro="[0]!checkboxes_change">
                <anchor moveWithCells="1">
                  <from>
                    <xdr:col>2</xdr:col>
                    <xdr:colOff>9525</xdr:colOff>
                    <xdr:row>37</xdr:row>
                    <xdr:rowOff>0</xdr:rowOff>
                  </from>
                  <to>
                    <xdr:col>2</xdr:col>
                    <xdr:colOff>466725</xdr:colOff>
                    <xdr:row>38</xdr:row>
                    <xdr:rowOff>19050</xdr:rowOff>
                  </to>
                </anchor>
              </controlPr>
            </control>
          </mc:Choice>
        </mc:AlternateContent>
        <mc:AlternateContent xmlns:mc="http://schemas.openxmlformats.org/markup-compatibility/2006">
          <mc:Choice Requires="x14">
            <control shapeId="4104" r:id="rId8" name="Check Box 8">
              <controlPr locked="0" defaultSize="0" autoFill="0" autoLine="0" autoPict="0" macro="[0]!checkboxes_change">
                <anchor moveWithCells="1">
                  <from>
                    <xdr:col>2</xdr:col>
                    <xdr:colOff>9525</xdr:colOff>
                    <xdr:row>40</xdr:row>
                    <xdr:rowOff>0</xdr:rowOff>
                  </from>
                  <to>
                    <xdr:col>2</xdr:col>
                    <xdr:colOff>457200</xdr:colOff>
                    <xdr:row>41</xdr:row>
                    <xdr:rowOff>38100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2</xdr:col>
                    <xdr:colOff>9525</xdr:colOff>
                    <xdr:row>33</xdr:row>
                    <xdr:rowOff>180975</xdr:rowOff>
                  </from>
                  <to>
                    <xdr:col>3</xdr:col>
                    <xdr:colOff>219075</xdr:colOff>
                    <xdr:row>35</xdr:row>
                    <xdr:rowOff>9525</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2</xdr:col>
                    <xdr:colOff>9525</xdr:colOff>
                    <xdr:row>35</xdr:row>
                    <xdr:rowOff>0</xdr:rowOff>
                  </from>
                  <to>
                    <xdr:col>3</xdr:col>
                    <xdr:colOff>219075</xdr:colOff>
                    <xdr:row>36</xdr:row>
                    <xdr:rowOff>28575</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2</xdr:col>
                    <xdr:colOff>9525</xdr:colOff>
                    <xdr:row>35</xdr:row>
                    <xdr:rowOff>180975</xdr:rowOff>
                  </from>
                  <to>
                    <xdr:col>3</xdr:col>
                    <xdr:colOff>219075</xdr:colOff>
                    <xdr:row>37</xdr:row>
                    <xdr:rowOff>9525</xdr:rowOff>
                  </to>
                </anchor>
              </controlPr>
            </control>
          </mc:Choice>
        </mc:AlternateContent>
        <mc:AlternateContent xmlns:mc="http://schemas.openxmlformats.org/markup-compatibility/2006">
          <mc:Choice Requires="x14">
            <control shapeId="4114" r:id="rId12" name="Check Box 18">
              <controlPr locked="0" defaultSize="0" autoFill="0" autoLine="0" autoPict="0" macro="[0]!checkboxes_change">
                <anchor moveWithCells="1">
                  <from>
                    <xdr:col>2</xdr:col>
                    <xdr:colOff>9525</xdr:colOff>
                    <xdr:row>32</xdr:row>
                    <xdr:rowOff>171450</xdr:rowOff>
                  </from>
                  <to>
                    <xdr:col>2</xdr:col>
                    <xdr:colOff>600075</xdr:colOff>
                    <xdr:row>34</xdr:row>
                    <xdr:rowOff>9525</xdr:rowOff>
                  </to>
                </anchor>
              </controlPr>
            </control>
          </mc:Choice>
        </mc:AlternateContent>
        <mc:AlternateContent xmlns:mc="http://schemas.openxmlformats.org/markup-compatibility/2006">
          <mc:Choice Requires="x14">
            <control shapeId="4115" r:id="rId13" name="Check Box 19">
              <controlPr locked="0" defaultSize="0" autoFill="0" autoLine="0" autoPict="0" macro="[0]!checkboxes_change">
                <anchor moveWithCells="1">
                  <from>
                    <xdr:col>2</xdr:col>
                    <xdr:colOff>9525</xdr:colOff>
                    <xdr:row>34</xdr:row>
                    <xdr:rowOff>0</xdr:rowOff>
                  </from>
                  <to>
                    <xdr:col>2</xdr:col>
                    <xdr:colOff>552450</xdr:colOff>
                    <xdr:row>35</xdr:row>
                    <xdr:rowOff>19050</xdr:rowOff>
                  </to>
                </anchor>
              </controlPr>
            </control>
          </mc:Choice>
        </mc:AlternateContent>
        <mc:AlternateContent xmlns:mc="http://schemas.openxmlformats.org/markup-compatibility/2006">
          <mc:Choice Requires="x14">
            <control shapeId="4117" r:id="rId14" name="Check Box 21">
              <controlPr locked="0" defaultSize="0" autoFill="0" autoLine="0" autoPict="0" macro="[0]!checkboxes_change">
                <anchor moveWithCells="1">
                  <from>
                    <xdr:col>2</xdr:col>
                    <xdr:colOff>9525</xdr:colOff>
                    <xdr:row>35</xdr:row>
                    <xdr:rowOff>0</xdr:rowOff>
                  </from>
                  <to>
                    <xdr:col>2</xdr:col>
                    <xdr:colOff>571500</xdr:colOff>
                    <xdr:row>36</xdr:row>
                    <xdr:rowOff>38100</xdr:rowOff>
                  </to>
                </anchor>
              </controlPr>
            </control>
          </mc:Choice>
        </mc:AlternateContent>
        <mc:AlternateContent xmlns:mc="http://schemas.openxmlformats.org/markup-compatibility/2006">
          <mc:Choice Requires="x14">
            <control shapeId="4118" r:id="rId15" name="Check Box 22">
              <controlPr locked="0" defaultSize="0" autoFill="0" autoLine="0" autoPict="0" macro="[0]!checkboxes_change">
                <anchor moveWithCells="1">
                  <from>
                    <xdr:col>2</xdr:col>
                    <xdr:colOff>9525</xdr:colOff>
                    <xdr:row>36</xdr:row>
                    <xdr:rowOff>0</xdr:rowOff>
                  </from>
                  <to>
                    <xdr:col>2</xdr:col>
                    <xdr:colOff>504825</xdr:colOff>
                    <xdr:row>37</xdr:row>
                    <xdr:rowOff>38100</xdr:rowOff>
                  </to>
                </anchor>
              </controlPr>
            </control>
          </mc:Choice>
        </mc:AlternateContent>
        <mc:AlternateContent xmlns:mc="http://schemas.openxmlformats.org/markup-compatibility/2006">
          <mc:Choice Requires="x14">
            <control shapeId="4119" r:id="rId16" name="Check Box 23">
              <controlPr locked="0" defaultSize="0" autoFill="0" autoLine="0" autoPict="0" macro="[0]!checkboxes_change">
                <anchor moveWithCells="1">
                  <from>
                    <xdr:col>2</xdr:col>
                    <xdr:colOff>9525</xdr:colOff>
                    <xdr:row>39</xdr:row>
                    <xdr:rowOff>19050</xdr:rowOff>
                  </from>
                  <to>
                    <xdr:col>2</xdr:col>
                    <xdr:colOff>476250</xdr:colOff>
                    <xdr:row>40</xdr:row>
                    <xdr:rowOff>47625</xdr:rowOff>
                  </to>
                </anchor>
              </controlPr>
            </control>
          </mc:Choice>
        </mc:AlternateContent>
        <mc:AlternateContent xmlns:mc="http://schemas.openxmlformats.org/markup-compatibility/2006">
          <mc:Choice Requires="x14">
            <control shapeId="4120" r:id="rId17" name="Check Box 24">
              <controlPr locked="0" defaultSize="0" autoFill="0" autoLine="0" autoPict="0" macro="[0]!checkboxes_change">
                <anchor moveWithCells="1">
                  <from>
                    <xdr:col>2</xdr:col>
                    <xdr:colOff>9525</xdr:colOff>
                    <xdr:row>40</xdr:row>
                    <xdr:rowOff>171450</xdr:rowOff>
                  </from>
                  <to>
                    <xdr:col>2</xdr:col>
                    <xdr:colOff>438150</xdr:colOff>
                    <xdr:row>42</xdr:row>
                    <xdr:rowOff>9525</xdr:rowOff>
                  </to>
                </anchor>
              </controlPr>
            </control>
          </mc:Choice>
        </mc:AlternateContent>
        <mc:AlternateContent xmlns:mc="http://schemas.openxmlformats.org/markup-compatibility/2006">
          <mc:Choice Requires="x14">
            <control shapeId="4121" r:id="rId18" name="Check Box 25">
              <controlPr locked="0" defaultSize="0" autoFill="0" autoLine="0" autoPict="0" macro="[0]!checkboxes_change">
                <anchor moveWithCells="1">
                  <from>
                    <xdr:col>2</xdr:col>
                    <xdr:colOff>9525</xdr:colOff>
                    <xdr:row>43</xdr:row>
                    <xdr:rowOff>0</xdr:rowOff>
                  </from>
                  <to>
                    <xdr:col>2</xdr:col>
                    <xdr:colOff>419100</xdr:colOff>
                    <xdr:row>44</xdr:row>
                    <xdr:rowOff>0</xdr:rowOff>
                  </to>
                </anchor>
              </controlPr>
            </control>
          </mc:Choice>
        </mc:AlternateContent>
        <mc:AlternateContent xmlns:mc="http://schemas.openxmlformats.org/markup-compatibility/2006">
          <mc:Choice Requires="x14">
            <control shapeId="4122" r:id="rId19" name="Check Box 26">
              <controlPr locked="0" defaultSize="0" autoFill="0" autoLine="0" autoPict="0" macro="[0]!checkboxes_change">
                <anchor moveWithCells="1">
                  <from>
                    <xdr:col>2</xdr:col>
                    <xdr:colOff>9525</xdr:colOff>
                    <xdr:row>42</xdr:row>
                    <xdr:rowOff>9525</xdr:rowOff>
                  </from>
                  <to>
                    <xdr:col>2</xdr:col>
                    <xdr:colOff>438150</xdr:colOff>
                    <xdr:row>43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5" id="{A9954964-FAF7-4499-9230-856BC312C68D}">
            <xm:f>Achtergrond!$E$262</xm:f>
            <x14:dxf>
              <fill>
                <patternFill>
                  <bgColor theme="0"/>
                </patternFill>
              </fill>
              <border>
                <left style="thin">
                  <color auto="1"/>
                </left>
                <right style="thin">
                  <color auto="1"/>
                </right>
                <top style="thin">
                  <color auto="1"/>
                </top>
                <bottom style="thin">
                  <color auto="1"/>
                </bottom>
                <vertical/>
                <horizontal/>
              </border>
            </x14:dxf>
          </x14:cfRule>
          <xm:sqref>D33 G33 J33</xm:sqref>
        </x14:conditionalFormatting>
        <x14:conditionalFormatting xmlns:xm="http://schemas.microsoft.com/office/excel/2006/main">
          <x14:cfRule type="expression" priority="747" id="{545B2B0B-A150-4427-AAA8-E08F3648E12B}">
            <xm:f>Achtergrond!$E$263</xm:f>
            <x14:dxf>
              <fill>
                <patternFill>
                  <bgColor theme="0"/>
                </patternFill>
              </fill>
              <border>
                <left style="thin">
                  <color auto="1"/>
                </left>
                <right style="thin">
                  <color auto="1"/>
                </right>
                <top style="thin">
                  <color auto="1"/>
                </top>
                <bottom style="thin">
                  <color auto="1"/>
                </bottom>
                <vertical/>
                <horizontal/>
              </border>
            </x14:dxf>
          </x14:cfRule>
          <xm:sqref>D34 G34 J34</xm:sqref>
        </x14:conditionalFormatting>
        <x14:conditionalFormatting xmlns:xm="http://schemas.microsoft.com/office/excel/2006/main">
          <x14:cfRule type="expression" priority="749" id="{47161EE2-B90B-4E1F-AEA4-7631F1DAD36D}">
            <xm:f>Achtergrond!$E$264</xm:f>
            <x14:dxf>
              <fill>
                <patternFill>
                  <bgColor theme="0"/>
                </patternFill>
              </fill>
              <border>
                <left style="thin">
                  <color auto="1"/>
                </left>
                <right style="thin">
                  <color auto="1"/>
                </right>
                <top style="thin">
                  <color auto="1"/>
                </top>
                <bottom style="thin">
                  <color auto="1"/>
                </bottom>
                <vertical/>
                <horizontal/>
              </border>
            </x14:dxf>
          </x14:cfRule>
          <xm:sqref>D35 G35 J35</xm:sqref>
        </x14:conditionalFormatting>
        <x14:conditionalFormatting xmlns:xm="http://schemas.microsoft.com/office/excel/2006/main">
          <x14:cfRule type="expression" priority="751" id="{3E328751-E361-41B4-982A-67254EB76096}">
            <xm:f>Achtergrond!$E$265</xm:f>
            <x14:dxf>
              <fill>
                <patternFill>
                  <bgColor theme="0"/>
                </patternFill>
              </fill>
              <border>
                <left style="thin">
                  <color auto="1"/>
                </left>
                <right style="thin">
                  <color auto="1"/>
                </right>
                <top style="thin">
                  <color auto="1"/>
                </top>
                <bottom style="thin">
                  <color auto="1"/>
                </bottom>
                <vertical/>
                <horizontal/>
              </border>
            </x14:dxf>
          </x14:cfRule>
          <xm:sqref>D36 G36 J36</xm:sqref>
        </x14:conditionalFormatting>
        <x14:conditionalFormatting xmlns:xm="http://schemas.microsoft.com/office/excel/2006/main">
          <x14:cfRule type="expression" priority="753" id="{9120D879-5539-4B0A-A05E-CCC74C6C1955}">
            <xm:f>Achtergrond!$E$266</xm:f>
            <x14:dxf>
              <fill>
                <patternFill>
                  <bgColor theme="0"/>
                </patternFill>
              </fill>
              <border>
                <left style="thin">
                  <color auto="1"/>
                </left>
                <right style="thin">
                  <color auto="1"/>
                </right>
                <top style="thin">
                  <color auto="1"/>
                </top>
                <bottom style="thin">
                  <color auto="1"/>
                </bottom>
                <vertical/>
                <horizontal/>
              </border>
            </x14:dxf>
          </x14:cfRule>
          <xm:sqref>D37 G37 J37</xm:sqref>
        </x14:conditionalFormatting>
        <x14:conditionalFormatting xmlns:xm="http://schemas.microsoft.com/office/excel/2006/main">
          <x14:cfRule type="expression" priority="755" id="{AD704EB6-4EB7-49BD-89CE-05029C14E45D}">
            <xm:f>Achtergrond!$E$267</xm:f>
            <x14:dxf>
              <fill>
                <patternFill>
                  <bgColor theme="0"/>
                </patternFill>
              </fill>
              <border>
                <left style="thin">
                  <color auto="1"/>
                </left>
                <right style="thin">
                  <color auto="1"/>
                </right>
                <top style="thin">
                  <color auto="1"/>
                </top>
                <bottom style="thin">
                  <color auto="1"/>
                </bottom>
                <vertical/>
                <horizontal/>
              </border>
            </x14:dxf>
          </x14:cfRule>
          <xm:sqref>D38 G39 J38:J39</xm:sqref>
        </x14:conditionalFormatting>
        <x14:conditionalFormatting xmlns:xm="http://schemas.microsoft.com/office/excel/2006/main">
          <x14:cfRule type="expression" priority="757" id="{DB83137A-C40B-4C87-8A4F-D0C4603AE9B8}">
            <xm:f>Achtergrond!$E$268</xm:f>
            <x14:dxf>
              <fill>
                <patternFill>
                  <bgColor theme="0"/>
                </patternFill>
              </fill>
              <border>
                <left style="thin">
                  <color auto="1"/>
                </left>
                <right style="thin">
                  <color auto="1"/>
                </right>
                <top style="thin">
                  <color auto="1"/>
                </top>
                <bottom style="thin">
                  <color auto="1"/>
                </bottom>
                <vertical/>
                <horizontal/>
              </border>
            </x14:dxf>
          </x14:cfRule>
          <xm:sqref>D40 G40 J40</xm:sqref>
        </x14:conditionalFormatting>
        <x14:conditionalFormatting xmlns:xm="http://schemas.microsoft.com/office/excel/2006/main">
          <x14:cfRule type="expression" priority="759" id="{C4CE7A88-9909-418F-9841-2C5A5CDBCEBE}">
            <xm:f>Achtergrond!$E$269</xm:f>
            <x14:dxf>
              <fill>
                <patternFill>
                  <bgColor theme="0"/>
                </patternFill>
              </fill>
              <border>
                <left style="thin">
                  <color auto="1"/>
                </left>
                <right style="thin">
                  <color auto="1"/>
                </right>
                <top style="thin">
                  <color auto="1"/>
                </top>
                <bottom style="thin">
                  <color auto="1"/>
                </bottom>
                <vertical/>
                <horizontal/>
              </border>
            </x14:dxf>
          </x14:cfRule>
          <xm:sqref>D41 J41</xm:sqref>
        </x14:conditionalFormatting>
        <x14:conditionalFormatting xmlns:xm="http://schemas.microsoft.com/office/excel/2006/main">
          <x14:cfRule type="expression" priority="760" id="{887AEFB8-D866-43A8-934E-4A1C751025D5}">
            <xm:f>Achtergrond!$E$270</xm:f>
            <x14:dxf>
              <fill>
                <patternFill>
                  <bgColor theme="0"/>
                </patternFill>
              </fill>
              <border>
                <left style="thin">
                  <color auto="1"/>
                </left>
                <right style="thin">
                  <color auto="1"/>
                </right>
                <top style="thin">
                  <color auto="1"/>
                </top>
                <bottom style="thin">
                  <color auto="1"/>
                </bottom>
                <vertical/>
                <horizontal/>
              </border>
            </x14:dxf>
          </x14:cfRule>
          <xm:sqref>D42 G42 J42</xm:sqref>
        </x14:conditionalFormatting>
        <x14:conditionalFormatting xmlns:xm="http://schemas.microsoft.com/office/excel/2006/main">
          <x14:cfRule type="expression" priority="762" id="{F6ED3AB0-ED36-4BA1-B0FB-F3ED09E41157}">
            <xm:f>Achtergrond!$E$271</xm:f>
            <x14:dxf>
              <fill>
                <patternFill>
                  <bgColor theme="0"/>
                </patternFill>
              </fill>
              <border>
                <left style="thin">
                  <color auto="1"/>
                </left>
                <right style="thin">
                  <color auto="1"/>
                </right>
                <top style="thin">
                  <color auto="1"/>
                </top>
                <bottom style="thin">
                  <color auto="1"/>
                </bottom>
                <vertical/>
                <horizontal/>
              </border>
            </x14:dxf>
          </x14:cfRule>
          <xm:sqref>D44 G44 J44</xm:sqref>
        </x14:conditionalFormatting>
        <x14:conditionalFormatting xmlns:xm="http://schemas.microsoft.com/office/excel/2006/main">
          <x14:cfRule type="expression" priority="764" id="{E0D2D0FE-1D8B-4F08-AA6B-24EE9BE3905D}">
            <xm:f>Achtergrond!$E$272</xm:f>
            <x14:dxf>
              <fill>
                <patternFill>
                  <bgColor theme="0"/>
                </patternFill>
              </fill>
              <border>
                <left style="thin">
                  <color auto="1"/>
                </left>
                <right style="thin">
                  <color auto="1"/>
                </right>
                <top style="thin">
                  <color auto="1"/>
                </top>
                <bottom style="thin">
                  <color auto="1"/>
                </bottom>
                <vertical/>
                <horizontal/>
              </border>
            </x14:dxf>
          </x14:cfRule>
          <xm:sqref>D43 G43 J43</xm:sqref>
        </x14:conditionalFormatting>
        <x14:conditionalFormatting xmlns:xm="http://schemas.microsoft.com/office/excel/2006/main">
          <x14:cfRule type="cellIs" priority="47" operator="notEqual" id="{67C60A9D-10BE-4282-8C74-287A357488AF}">
            <xm:f>Achtergrond!$D$5</xm:f>
            <x14:dxf>
              <font>
                <color rgb="FFFF0000"/>
              </font>
            </x14:dxf>
          </x14:cfRule>
          <x14:cfRule type="cellIs" priority="48" operator="equal" id="{AB42F885-4A14-49A2-A813-E76D5A3F8A55}">
            <xm:f>Achtergrond!$D$5</xm:f>
            <x14:dxf>
              <font>
                <color rgb="FF0070C0"/>
              </font>
            </x14:dxf>
          </x14:cfRule>
          <xm:sqref>D11</xm:sqref>
        </x14:conditionalFormatting>
        <x14:conditionalFormatting xmlns:xm="http://schemas.microsoft.com/office/excel/2006/main">
          <x14:cfRule type="cellIs" priority="44" operator="equal" id="{98D123BB-8E6A-456D-8A60-D9908B91F3F9}">
            <xm:f>Achtergrond!$D$6</xm:f>
            <x14:dxf>
              <font>
                <color rgb="FF0070C0"/>
              </font>
            </x14:dxf>
          </x14:cfRule>
          <x14:cfRule type="cellIs" priority="46" operator="notEqual" id="{2D939FBB-EF36-45B0-9D30-C0A6757014AA}">
            <xm:f>Achtergrond!$D$6</xm:f>
            <x14:dxf>
              <font>
                <color rgb="FFFF0000"/>
              </font>
            </x14:dxf>
          </x14:cfRule>
          <xm:sqref>D12</xm:sqref>
        </x14:conditionalFormatting>
        <x14:conditionalFormatting xmlns:xm="http://schemas.microsoft.com/office/excel/2006/main">
          <x14:cfRule type="cellIs" priority="43" operator="equal" id="{A4AB1963-5988-4C7A-B9E0-71A34AEC66C5}">
            <xm:f>Achtergrond!$D$7</xm:f>
            <x14:dxf>
              <font>
                <color rgb="FF0070C0"/>
              </font>
            </x14:dxf>
          </x14:cfRule>
          <x14:cfRule type="cellIs" priority="45" operator="notEqual" id="{F022A950-8D7A-4C50-B2E3-4D1A065AD9A3}">
            <xm:f>Achtergrond!$D$7</xm:f>
            <x14:dxf>
              <font>
                <color rgb="FFFF0000"/>
              </font>
            </x14:dxf>
          </x14:cfRule>
          <xm:sqref>D13</xm:sqref>
        </x14:conditionalFormatting>
        <x14:conditionalFormatting xmlns:xm="http://schemas.microsoft.com/office/excel/2006/main">
          <x14:cfRule type="cellIs" priority="29" operator="notEqual" id="{42AFCFFA-ED08-43D8-BF4D-8C76CB71DA4F}">
            <xm:f>Achtergrond!$C$12</xm:f>
            <x14:dxf>
              <font>
                <color rgb="FFFF0000"/>
              </font>
            </x14:dxf>
          </x14:cfRule>
          <x14:cfRule type="cellIs" priority="42" operator="equal" id="{E1257539-C472-4340-85CB-2383FFBA9AB5}">
            <xm:f>Achtergrond!$C$12</xm:f>
            <x14:dxf>
              <font>
                <color rgb="FF0070C0"/>
              </font>
            </x14:dxf>
          </x14:cfRule>
          <xm:sqref>C18</xm:sqref>
        </x14:conditionalFormatting>
        <x14:conditionalFormatting xmlns:xm="http://schemas.microsoft.com/office/excel/2006/main">
          <x14:cfRule type="cellIs" priority="28" operator="notEqual" id="{D1BFD2A2-B5BF-46FA-AB71-ED054F6CFDCA}">
            <xm:f>Achtergrond!$C$13</xm:f>
            <x14:dxf>
              <font>
                <color rgb="FFFF0000"/>
              </font>
            </x14:dxf>
          </x14:cfRule>
          <x14:cfRule type="cellIs" priority="35" operator="equal" id="{4B4E00BE-D1B9-4C67-B265-461B814E6164}">
            <xm:f>Achtergrond!$C$13</xm:f>
            <x14:dxf>
              <font>
                <color rgb="FF0070C0"/>
              </font>
            </x14:dxf>
          </x14:cfRule>
          <xm:sqref>C19</xm:sqref>
        </x14:conditionalFormatting>
        <x14:conditionalFormatting xmlns:xm="http://schemas.microsoft.com/office/excel/2006/main">
          <x14:cfRule type="cellIs" priority="27" operator="notEqual" id="{94F923AD-33AF-450B-BB21-B35E9622B637}">
            <xm:f>Achtergrond!$C$14</xm:f>
            <x14:dxf>
              <font>
                <color rgb="FFFF0000"/>
              </font>
            </x14:dxf>
          </x14:cfRule>
          <x14:cfRule type="cellIs" priority="34" operator="equal" id="{5A23D2D4-F424-450E-A316-E8C68E95645D}">
            <xm:f>Achtergrond!$C$14</xm:f>
            <x14:dxf>
              <font>
                <color rgb="FF0070C0"/>
              </font>
            </x14:dxf>
          </x14:cfRule>
          <xm:sqref>C20</xm:sqref>
        </x14:conditionalFormatting>
        <x14:conditionalFormatting xmlns:xm="http://schemas.microsoft.com/office/excel/2006/main">
          <x14:cfRule type="cellIs" priority="26" operator="notEqual" id="{981E644F-27FF-483E-872F-DE4E2EDDC386}">
            <xm:f>Achtergrond!$C$15</xm:f>
            <x14:dxf>
              <font>
                <color rgb="FFFF0000"/>
              </font>
            </x14:dxf>
          </x14:cfRule>
          <x14:cfRule type="cellIs" priority="33" operator="equal" id="{DA8F6F08-2D95-4BB5-8BF4-EB2696E55725}">
            <xm:f>Achtergrond!$C$15</xm:f>
            <x14:dxf>
              <font>
                <color rgb="FF0070C0"/>
              </font>
            </x14:dxf>
          </x14:cfRule>
          <xm:sqref>C21</xm:sqref>
        </x14:conditionalFormatting>
        <x14:conditionalFormatting xmlns:xm="http://schemas.microsoft.com/office/excel/2006/main">
          <x14:cfRule type="cellIs" priority="25" operator="notEqual" id="{B1D13CB9-AF7D-4938-AD29-58681307E989}">
            <xm:f>Achtergrond!$C$16</xm:f>
            <x14:dxf>
              <font>
                <color rgb="FFFF0000"/>
              </font>
            </x14:dxf>
          </x14:cfRule>
          <x14:cfRule type="cellIs" priority="32" operator="equal" id="{06E8B376-FA6F-4DF9-86B5-00CED0EE64CA}">
            <xm:f>Achtergrond!$C$16</xm:f>
            <x14:dxf>
              <font>
                <color rgb="FF0070C0"/>
              </font>
            </x14:dxf>
          </x14:cfRule>
          <xm:sqref>C22</xm:sqref>
        </x14:conditionalFormatting>
        <x14:conditionalFormatting xmlns:xm="http://schemas.microsoft.com/office/excel/2006/main">
          <x14:cfRule type="cellIs" priority="24" operator="notEqual" id="{9715174A-2128-4A43-AD55-D1C708D317E2}">
            <xm:f>Achtergrond!$C$18</xm:f>
            <x14:dxf>
              <font>
                <color rgb="FFFF0000"/>
              </font>
            </x14:dxf>
          </x14:cfRule>
          <x14:cfRule type="cellIs" priority="31" operator="equal" id="{7586F106-90E8-4C22-A2DB-D494B72036E5}">
            <xm:f>Achtergrond!$C$18</xm:f>
            <x14:dxf>
              <font>
                <color rgb="FF0070C0"/>
              </font>
            </x14:dxf>
          </x14:cfRule>
          <xm:sqref>C24</xm:sqref>
        </x14:conditionalFormatting>
        <x14:conditionalFormatting xmlns:xm="http://schemas.microsoft.com/office/excel/2006/main">
          <x14:cfRule type="cellIs" priority="21" operator="notEqual" id="{2CCC3F04-A0BC-4373-AB90-7D2DA31E0458}">
            <xm:f>Achtergrond!$F$26</xm:f>
            <x14:dxf>
              <font>
                <color rgb="FFFF0000"/>
              </font>
            </x14:dxf>
          </x14:cfRule>
          <x14:cfRule type="cellIs" priority="22" operator="equal" id="{F918B84C-42B8-4714-BDA0-E01CEC91B775}">
            <xm:f>Achtergrond!$F$26</xm:f>
            <x14:dxf>
              <font>
                <color rgb="FF0070C0"/>
              </font>
            </x14:dxf>
          </x14:cfRule>
          <xm:sqref>G33</xm:sqref>
        </x14:conditionalFormatting>
        <x14:conditionalFormatting xmlns:xm="http://schemas.microsoft.com/office/excel/2006/main">
          <x14:cfRule type="cellIs" priority="11" operator="notEqual" id="{54B21972-E232-4543-BE3B-D9B54478CDC8}">
            <xm:f>Achtergrond!$F$27</xm:f>
            <x14:dxf>
              <font>
                <color rgb="FFFF0000"/>
              </font>
            </x14:dxf>
          </x14:cfRule>
          <x14:cfRule type="cellIs" priority="20" operator="equal" id="{24F464B9-EB9D-40A0-90D2-6FA94714631F}">
            <xm:f>Achtergrond!$F$27</xm:f>
            <x14:dxf>
              <font>
                <color rgb="FF0070C0"/>
              </font>
            </x14:dxf>
          </x14:cfRule>
          <xm:sqref>G34</xm:sqref>
        </x14:conditionalFormatting>
        <x14:conditionalFormatting xmlns:xm="http://schemas.microsoft.com/office/excel/2006/main">
          <x14:cfRule type="cellIs" priority="10" operator="notEqual" id="{282FF8C7-3756-404C-B81F-43E92D78EFC4}">
            <xm:f>Achtergrond!$F$28</xm:f>
            <x14:dxf>
              <font>
                <color rgb="FFFF0000"/>
              </font>
            </x14:dxf>
          </x14:cfRule>
          <x14:cfRule type="cellIs" priority="19" operator="equal" id="{69A6F883-AAA2-458F-82A6-310ACA553275}">
            <xm:f>Achtergrond!$F$28</xm:f>
            <x14:dxf>
              <font>
                <color rgb="FF0070C0"/>
              </font>
            </x14:dxf>
          </x14:cfRule>
          <xm:sqref>G35</xm:sqref>
        </x14:conditionalFormatting>
        <x14:conditionalFormatting xmlns:xm="http://schemas.microsoft.com/office/excel/2006/main">
          <x14:cfRule type="cellIs" priority="9" operator="notEqual" id="{36C733C6-ECCC-4FB9-B891-27E36CE48A00}">
            <xm:f>Achtergrond!$F$29</xm:f>
            <x14:dxf>
              <font>
                <color rgb="FFFF0000"/>
              </font>
            </x14:dxf>
          </x14:cfRule>
          <x14:cfRule type="cellIs" priority="18" operator="equal" id="{6B2F74A4-37B4-4412-A404-5F9660659708}">
            <xm:f>Achtergrond!$F$29</xm:f>
            <x14:dxf>
              <font>
                <color rgb="FF0070C0"/>
              </font>
            </x14:dxf>
          </x14:cfRule>
          <xm:sqref>G36</xm:sqref>
        </x14:conditionalFormatting>
        <x14:conditionalFormatting xmlns:xm="http://schemas.microsoft.com/office/excel/2006/main">
          <x14:cfRule type="cellIs" priority="8" operator="notEqual" id="{BAB5B1B8-B06B-4ECC-9015-657473A61DFF}">
            <xm:f>Achtergrond!$F$30</xm:f>
            <x14:dxf>
              <font>
                <color rgb="FFFF0000"/>
              </font>
            </x14:dxf>
          </x14:cfRule>
          <x14:cfRule type="cellIs" priority="17" operator="equal" id="{31025DA1-988F-480A-99A9-8174FA47A7B2}">
            <xm:f>Achtergrond!$F$30</xm:f>
            <x14:dxf>
              <font>
                <color rgb="FF0070C0"/>
              </font>
            </x14:dxf>
          </x14:cfRule>
          <xm:sqref>G37</xm:sqref>
        </x14:conditionalFormatting>
        <x14:conditionalFormatting xmlns:xm="http://schemas.microsoft.com/office/excel/2006/main">
          <x14:cfRule type="cellIs" priority="7" operator="notEqual" id="{B54701DE-2267-45D8-979F-0F8C1EF370D6}">
            <xm:f>Achtergrond!$F$31</xm:f>
            <x14:dxf>
              <font>
                <color rgb="FFFF0000"/>
              </font>
            </x14:dxf>
          </x14:cfRule>
          <x14:cfRule type="cellIs" priority="16" operator="equal" id="{FFE9B211-0188-448D-BA87-70C400AACDEA}">
            <xm:f>Achtergrond!$F$31</xm:f>
            <x14:dxf>
              <font>
                <color rgb="FF0070C0"/>
              </font>
            </x14:dxf>
          </x14:cfRule>
          <xm:sqref>G39</xm:sqref>
        </x14:conditionalFormatting>
        <x14:conditionalFormatting xmlns:xm="http://schemas.microsoft.com/office/excel/2006/main">
          <x14:cfRule type="cellIs" priority="6" operator="notEqual" id="{55FD2C5C-4AB5-4775-9FA6-8D61BBF5FD85}">
            <xm:f>Achtergrond!$F$32</xm:f>
            <x14:dxf>
              <font>
                <color rgb="FFFF0000"/>
              </font>
            </x14:dxf>
          </x14:cfRule>
          <x14:cfRule type="cellIs" priority="15" operator="equal" id="{D47E1575-DA48-4897-ABC1-5BA559B2416A}">
            <xm:f>Achtergrond!$F$32</xm:f>
            <x14:dxf>
              <font>
                <color rgb="FF0070C0"/>
              </font>
            </x14:dxf>
          </x14:cfRule>
          <xm:sqref>G40</xm:sqref>
        </x14:conditionalFormatting>
        <x14:conditionalFormatting xmlns:xm="http://schemas.microsoft.com/office/excel/2006/main">
          <x14:cfRule type="cellIs" priority="5" operator="notEqual" id="{41AEBCEB-A7D3-42AB-886A-94C21CB67F58}">
            <xm:f>Achtergrond!$F$34</xm:f>
            <x14:dxf>
              <font>
                <color rgb="FFFF0000"/>
              </font>
            </x14:dxf>
          </x14:cfRule>
          <x14:cfRule type="cellIs" priority="14" operator="equal" id="{16FFEB28-D8B8-4FA1-A643-5B9D7C38D29A}">
            <xm:f>Achtergrond!$F$34</xm:f>
            <x14:dxf>
              <font>
                <color rgb="FF0070C0"/>
              </font>
            </x14:dxf>
          </x14:cfRule>
          <xm:sqref>G42</xm:sqref>
        </x14:conditionalFormatting>
        <x14:conditionalFormatting xmlns:xm="http://schemas.microsoft.com/office/excel/2006/main">
          <x14:cfRule type="cellIs" priority="4" operator="notEqual" id="{A8A7915A-E1DC-47B5-AA1B-B88746C0E1B3}">
            <xm:f>Achtergrond!$F$35</xm:f>
            <x14:dxf>
              <font>
                <color rgb="FFFF0000"/>
              </font>
            </x14:dxf>
          </x14:cfRule>
          <x14:cfRule type="cellIs" priority="13" operator="equal" id="{573EFC3B-EF6E-41BD-BFE2-9AA7F634FFF2}">
            <xm:f>Achtergrond!$F$35</xm:f>
            <x14:dxf>
              <font>
                <color rgb="FF0070C0"/>
              </font>
            </x14:dxf>
          </x14:cfRule>
          <xm:sqref>G43</xm:sqref>
        </x14:conditionalFormatting>
        <x14:conditionalFormatting xmlns:xm="http://schemas.microsoft.com/office/excel/2006/main">
          <x14:cfRule type="cellIs" priority="3" operator="notEqual" id="{63876B23-49A0-4D72-A623-264CEA0EF144}">
            <xm:f>Achtergrond!$F$36</xm:f>
            <x14:dxf>
              <font>
                <color rgb="FFFF0000"/>
              </font>
            </x14:dxf>
          </x14:cfRule>
          <x14:cfRule type="cellIs" priority="12" operator="equal" id="{0CAA9D33-FC75-467B-939D-027F4DF2CD28}">
            <xm:f>Achtergrond!$F$36</xm:f>
            <x14:dxf>
              <font>
                <color rgb="FF0070C0"/>
              </font>
            </x14:dxf>
          </x14:cfRule>
          <xm:sqref>G44</xm:sqref>
        </x14:conditionalFormatting>
        <x14:conditionalFormatting xmlns:xm="http://schemas.microsoft.com/office/excel/2006/main">
          <x14:cfRule type="cellIs" priority="23" operator="notEqual" id="{956FB44B-E3A6-4D48-BAFC-41410250420E}">
            <xm:f>Achtergrond!$C$19</xm:f>
            <x14:dxf>
              <font>
                <color rgb="FFFF0000"/>
              </font>
            </x14:dxf>
          </x14:cfRule>
          <x14:cfRule type="cellIs" priority="30" operator="equal" id="{86C645EA-4DE6-4D37-A368-C8744439B32C}">
            <xm:f>Achtergrond!$C$19</xm:f>
            <x14:dxf>
              <font>
                <color rgb="FF0070C0"/>
              </font>
            </x14:dxf>
          </x14:cfRule>
          <xm:sqref>C25</xm:sqref>
        </x14:conditionalFormatting>
        <x14:conditionalFormatting xmlns:xm="http://schemas.microsoft.com/office/excel/2006/main">
          <x14:cfRule type="cellIs" priority="2" operator="notEqual" id="{1B230C1D-0AB8-46C0-93C1-55F056A1DE16}">
            <xm:f>Achtergrond!$C$20</xm:f>
            <x14:dxf>
              <font>
                <color rgb="FFFF0000"/>
              </font>
            </x14:dxf>
          </x14:cfRule>
          <x14:cfRule type="cellIs" priority="1" operator="equal" id="{AA7CFFE7-0963-4044-959E-1BF2C4EC3131}">
            <xm:f>Achtergrond!$C$20</xm:f>
            <x14:dxf>
              <font>
                <color rgb="FF0070C0"/>
              </font>
            </x14:dxf>
          </x14:cfRule>
          <xm:sqref>C26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J133"/>
  <sheetViews>
    <sheetView showRowColHeaders="0" zoomScaleNormal="100" workbookViewId="0">
      <selection activeCell="G8" sqref="G8"/>
    </sheetView>
  </sheetViews>
  <sheetFormatPr defaultColWidth="0" defaultRowHeight="15" zeroHeight="1" x14ac:dyDescent="0.3"/>
  <cols>
    <col min="1" max="1" width="3" customWidth="1"/>
    <col min="2" max="2" width="46.85546875" customWidth="1"/>
    <col min="3" max="4" width="12.5703125" customWidth="1"/>
    <col min="5" max="5" width="9.42578125" customWidth="1"/>
    <col min="6" max="6" width="7.140625" customWidth="1"/>
    <col min="7" max="7" width="25.42578125" customWidth="1"/>
    <col min="8" max="8" width="8.85546875" customWidth="1"/>
    <col min="9" max="16384" width="8.85546875" hidden="1"/>
  </cols>
  <sheetData>
    <row r="1" spans="1:8" ht="15" customHeight="1" x14ac:dyDescent="0.3">
      <c r="A1" s="146" t="s">
        <v>234</v>
      </c>
      <c r="B1" s="146"/>
      <c r="C1" s="146"/>
      <c r="D1" s="146"/>
      <c r="E1" s="146"/>
      <c r="F1" s="146"/>
      <c r="G1" s="146"/>
      <c r="H1" s="146"/>
    </row>
    <row r="2" spans="1:8" ht="15" customHeight="1" x14ac:dyDescent="0.3">
      <c r="A2" s="146"/>
      <c r="B2" s="146"/>
      <c r="C2" s="146"/>
      <c r="D2" s="146"/>
      <c r="E2" s="146"/>
      <c r="F2" s="146"/>
      <c r="G2" s="146"/>
      <c r="H2" s="146"/>
    </row>
    <row r="3" spans="1:8" ht="15" customHeight="1" x14ac:dyDescent="0.3">
      <c r="A3" s="146"/>
      <c r="B3" s="146"/>
      <c r="C3" s="146"/>
      <c r="D3" s="146"/>
      <c r="E3" s="146"/>
      <c r="F3" s="146"/>
      <c r="G3" s="146"/>
      <c r="H3" s="146"/>
    </row>
    <row r="4" spans="1:8" ht="15" customHeight="1" x14ac:dyDescent="0.3">
      <c r="A4" s="36"/>
      <c r="B4" s="16"/>
      <c r="C4" s="16"/>
      <c r="D4" s="16"/>
      <c r="E4" s="16"/>
      <c r="F4" s="16"/>
      <c r="G4" s="16"/>
      <c r="H4" s="1"/>
    </row>
    <row r="5" spans="1:8" ht="133.5" customHeight="1" x14ac:dyDescent="0.3">
      <c r="A5" s="36"/>
      <c r="B5" s="16"/>
      <c r="C5" s="16"/>
      <c r="D5" s="16"/>
      <c r="E5" s="16"/>
      <c r="F5" s="16"/>
      <c r="G5" s="16"/>
      <c r="H5" s="1"/>
    </row>
    <row r="6" spans="1:8" ht="15.6" customHeight="1" x14ac:dyDescent="0.3">
      <c r="A6" s="36"/>
      <c r="B6" s="16"/>
      <c r="C6" s="16"/>
      <c r="D6" s="16"/>
      <c r="E6" s="16"/>
      <c r="F6" s="16"/>
      <c r="G6" s="16"/>
      <c r="H6" s="1"/>
    </row>
    <row r="7" spans="1:8" ht="24.95" customHeight="1" x14ac:dyDescent="0.3">
      <c r="A7" s="1"/>
      <c r="B7" s="119" t="s">
        <v>0</v>
      </c>
      <c r="C7" s="1"/>
      <c r="D7" s="1"/>
      <c r="E7" s="1"/>
      <c r="F7" s="1"/>
      <c r="G7" s="1"/>
      <c r="H7" s="1"/>
    </row>
    <row r="8" spans="1:8" x14ac:dyDescent="0.3">
      <c r="A8" s="1"/>
      <c r="B8" s="16" t="s">
        <v>0</v>
      </c>
      <c r="C8" s="19">
        <f>IF(cb_hout_bio=FALSE,0,cell_hout_bio)</f>
        <v>0</v>
      </c>
      <c r="D8" s="17" t="s">
        <v>223</v>
      </c>
      <c r="E8" s="1"/>
      <c r="F8" s="17" t="s">
        <v>286</v>
      </c>
      <c r="G8" s="50"/>
      <c r="H8" s="1"/>
    </row>
    <row r="9" spans="1:8" x14ac:dyDescent="0.3">
      <c r="A9" s="1"/>
      <c r="B9" s="16" t="s">
        <v>132</v>
      </c>
      <c r="C9" s="50"/>
      <c r="D9" s="17" t="s">
        <v>5</v>
      </c>
      <c r="E9" s="1"/>
      <c r="F9" s="17" t="s">
        <v>286</v>
      </c>
      <c r="G9" s="50"/>
      <c r="H9" s="1"/>
    </row>
    <row r="10" spans="1:8" x14ac:dyDescent="0.3">
      <c r="A10" s="1"/>
      <c r="B10" s="16" t="s">
        <v>1</v>
      </c>
      <c r="C10" s="50"/>
      <c r="D10" s="17" t="s">
        <v>2</v>
      </c>
      <c r="E10" s="1"/>
      <c r="F10" s="17" t="s">
        <v>286</v>
      </c>
      <c r="G10" s="50"/>
      <c r="H10" s="1"/>
    </row>
    <row r="11" spans="1:8" x14ac:dyDescent="0.3">
      <c r="A11" s="1"/>
      <c r="B11" s="16" t="s">
        <v>227</v>
      </c>
      <c r="C11" s="50"/>
      <c r="D11" s="17" t="s">
        <v>5</v>
      </c>
      <c r="E11" s="1"/>
      <c r="F11" s="17" t="s">
        <v>286</v>
      </c>
      <c r="G11" s="50"/>
      <c r="H11" s="1"/>
    </row>
    <row r="12" spans="1:8" x14ac:dyDescent="0.3">
      <c r="A12" s="1"/>
      <c r="B12" s="16" t="s">
        <v>228</v>
      </c>
      <c r="C12" s="72"/>
      <c r="D12" s="17" t="s">
        <v>5</v>
      </c>
      <c r="E12" s="1"/>
      <c r="F12" s="17" t="s">
        <v>286</v>
      </c>
      <c r="G12" s="50"/>
      <c r="H12" s="1"/>
    </row>
    <row r="13" spans="1:8" x14ac:dyDescent="0.3">
      <c r="A13" s="1"/>
      <c r="B13" s="90" t="s">
        <v>252</v>
      </c>
      <c r="C13" s="1"/>
      <c r="D13" s="17"/>
      <c r="E13" s="1"/>
      <c r="F13" s="1"/>
      <c r="G13" s="1"/>
      <c r="H13" s="1"/>
    </row>
    <row r="14" spans="1:8" x14ac:dyDescent="0.3">
      <c r="A14" s="1"/>
      <c r="B14" s="17"/>
      <c r="C14" s="1"/>
      <c r="D14" s="17"/>
      <c r="E14" s="1"/>
      <c r="F14" s="1"/>
      <c r="G14" s="1"/>
      <c r="H14" s="1"/>
    </row>
    <row r="15" spans="1:8" ht="24.95" customHeight="1" x14ac:dyDescent="0.3">
      <c r="A15" s="1"/>
      <c r="B15" s="119" t="s">
        <v>6</v>
      </c>
      <c r="C15" s="1"/>
      <c r="D15" s="17"/>
      <c r="E15" s="1"/>
      <c r="F15" s="1"/>
      <c r="G15" s="1"/>
      <c r="H15" s="1"/>
    </row>
    <row r="16" spans="1:8" ht="17.25" x14ac:dyDescent="0.3">
      <c r="A16" s="1"/>
      <c r="B16" s="16" t="s">
        <v>7</v>
      </c>
      <c r="C16" s="50"/>
      <c r="D16" s="17" t="s">
        <v>236</v>
      </c>
      <c r="E16" s="1"/>
      <c r="F16" s="17" t="s">
        <v>286</v>
      </c>
      <c r="G16" s="50"/>
      <c r="H16" s="1"/>
    </row>
    <row r="17" spans="1:8" x14ac:dyDescent="0.3">
      <c r="A17" s="1"/>
      <c r="B17" s="92" t="s">
        <v>253</v>
      </c>
      <c r="C17" s="1"/>
      <c r="D17" s="17"/>
      <c r="E17" s="1"/>
      <c r="F17" s="17"/>
      <c r="G17" s="1"/>
      <c r="H17" s="1"/>
    </row>
    <row r="18" spans="1:8" x14ac:dyDescent="0.3">
      <c r="A18" s="1"/>
      <c r="B18" s="16" t="s">
        <v>262</v>
      </c>
      <c r="C18" s="50"/>
      <c r="D18" s="17" t="s">
        <v>223</v>
      </c>
      <c r="E18" s="1"/>
      <c r="F18" s="17" t="s">
        <v>286</v>
      </c>
      <c r="G18" s="50"/>
      <c r="H18" s="1"/>
    </row>
    <row r="19" spans="1:8" ht="17.25" x14ac:dyDescent="0.3">
      <c r="A19" s="1"/>
      <c r="B19" s="38" t="s">
        <v>172</v>
      </c>
      <c r="C19" s="50"/>
      <c r="D19" s="17" t="s">
        <v>237</v>
      </c>
      <c r="E19" s="1"/>
      <c r="F19" s="17" t="s">
        <v>286</v>
      </c>
      <c r="G19" s="50"/>
      <c r="H19" s="1"/>
    </row>
    <row r="20" spans="1:8" x14ac:dyDescent="0.3">
      <c r="A20" s="1"/>
      <c r="B20" s="38" t="s">
        <v>174</v>
      </c>
      <c r="C20" s="50"/>
      <c r="D20" s="17" t="s">
        <v>5</v>
      </c>
      <c r="E20" s="1"/>
      <c r="F20" s="17" t="s">
        <v>286</v>
      </c>
      <c r="G20" s="50"/>
      <c r="H20" s="1"/>
    </row>
    <row r="21" spans="1:8" x14ac:dyDescent="0.3">
      <c r="A21" s="1"/>
      <c r="B21" s="16" t="s">
        <v>134</v>
      </c>
      <c r="C21" s="50"/>
      <c r="D21" s="17" t="s">
        <v>223</v>
      </c>
      <c r="E21" s="1"/>
      <c r="F21" s="17" t="s">
        <v>286</v>
      </c>
      <c r="G21" s="50"/>
      <c r="H21" s="1"/>
    </row>
    <row r="22" spans="1:8" x14ac:dyDescent="0.3">
      <c r="A22" s="1"/>
      <c r="B22" s="38" t="s">
        <v>175</v>
      </c>
      <c r="C22" s="50"/>
      <c r="D22" s="17"/>
      <c r="E22" s="1"/>
      <c r="F22" s="17" t="s">
        <v>286</v>
      </c>
      <c r="G22" s="50"/>
      <c r="H22" s="1"/>
    </row>
    <row r="23" spans="1:8" x14ac:dyDescent="0.3">
      <c r="A23" s="1"/>
      <c r="B23" s="17"/>
      <c r="C23" s="1"/>
      <c r="D23" s="17"/>
      <c r="E23" s="1"/>
      <c r="F23" s="17"/>
      <c r="G23" s="1"/>
      <c r="H23" s="1"/>
    </row>
    <row r="24" spans="1:8" ht="27.6" customHeight="1" x14ac:dyDescent="0.3">
      <c r="A24" s="1"/>
      <c r="B24" s="120" t="s">
        <v>280</v>
      </c>
      <c r="C24" s="1" t="str">
        <f>Achtergrond!P154</f>
        <v/>
      </c>
      <c r="D24" s="17"/>
      <c r="E24" s="1"/>
      <c r="F24" s="17"/>
      <c r="G24" s="1"/>
      <c r="H24" s="1"/>
    </row>
    <row r="25" spans="1:8" ht="17.25" x14ac:dyDescent="0.3">
      <c r="A25" s="1"/>
      <c r="B25" s="16" t="s">
        <v>9</v>
      </c>
      <c r="C25" s="50"/>
      <c r="D25" s="17" t="s">
        <v>236</v>
      </c>
      <c r="E25" s="1"/>
      <c r="F25" s="17" t="s">
        <v>286</v>
      </c>
      <c r="G25" s="50"/>
      <c r="H25" s="1"/>
    </row>
    <row r="26" spans="1:8" x14ac:dyDescent="0.3">
      <c r="A26" s="1"/>
      <c r="B26" s="92" t="s">
        <v>253</v>
      </c>
      <c r="C26" s="1"/>
      <c r="D26" s="17"/>
      <c r="E26" s="1"/>
      <c r="F26" s="17"/>
      <c r="G26" s="1"/>
      <c r="H26" s="1"/>
    </row>
    <row r="27" spans="1:8" x14ac:dyDescent="0.3">
      <c r="A27" s="1"/>
      <c r="B27" s="16" t="s">
        <v>263</v>
      </c>
      <c r="C27" s="50"/>
      <c r="D27" s="17" t="s">
        <v>223</v>
      </c>
      <c r="E27" s="1"/>
      <c r="F27" s="17" t="s">
        <v>286</v>
      </c>
      <c r="G27" s="50"/>
      <c r="H27" s="1"/>
    </row>
    <row r="28" spans="1:8" ht="17.25" x14ac:dyDescent="0.3">
      <c r="A28" s="1"/>
      <c r="B28" s="38" t="s">
        <v>172</v>
      </c>
      <c r="C28" s="50"/>
      <c r="D28" s="17" t="s">
        <v>237</v>
      </c>
      <c r="E28" s="1"/>
      <c r="F28" s="17" t="s">
        <v>286</v>
      </c>
      <c r="G28" s="50"/>
      <c r="H28" s="1"/>
    </row>
    <row r="29" spans="1:8" x14ac:dyDescent="0.3">
      <c r="A29" s="1"/>
      <c r="B29" s="38" t="s">
        <v>174</v>
      </c>
      <c r="C29" s="50"/>
      <c r="D29" s="17" t="s">
        <v>5</v>
      </c>
      <c r="E29" s="1"/>
      <c r="F29" s="17" t="s">
        <v>286</v>
      </c>
      <c r="G29" s="50"/>
      <c r="H29" s="1"/>
    </row>
    <row r="30" spans="1:8" x14ac:dyDescent="0.3">
      <c r="A30" s="1"/>
      <c r="B30" s="16" t="s">
        <v>134</v>
      </c>
      <c r="C30" s="50"/>
      <c r="D30" s="17" t="s">
        <v>223</v>
      </c>
      <c r="E30" s="1"/>
      <c r="F30" s="17" t="s">
        <v>286</v>
      </c>
      <c r="G30" s="50"/>
      <c r="H30" s="1"/>
    </row>
    <row r="31" spans="1:8" x14ac:dyDescent="0.3">
      <c r="A31" s="1"/>
      <c r="B31" s="38" t="s">
        <v>175</v>
      </c>
      <c r="C31" s="50"/>
      <c r="D31" s="17"/>
      <c r="E31" s="1"/>
      <c r="F31" s="17" t="s">
        <v>286</v>
      </c>
      <c r="G31" s="50"/>
      <c r="H31" s="1"/>
    </row>
    <row r="32" spans="1:8" x14ac:dyDescent="0.3">
      <c r="A32" s="1"/>
      <c r="B32" s="15"/>
      <c r="C32" s="1"/>
      <c r="D32" s="17"/>
      <c r="E32" s="1"/>
      <c r="F32" s="17"/>
      <c r="G32" s="1"/>
      <c r="H32" s="1"/>
    </row>
    <row r="33" spans="1:8" x14ac:dyDescent="0.3">
      <c r="A33" s="1"/>
      <c r="B33" s="15" t="s">
        <v>12</v>
      </c>
      <c r="C33" s="1"/>
      <c r="D33" s="17"/>
      <c r="E33" s="1"/>
      <c r="F33" s="17"/>
      <c r="G33" s="1"/>
      <c r="H33" s="1"/>
    </row>
    <row r="34" spans="1:8" x14ac:dyDescent="0.3">
      <c r="A34" s="1"/>
      <c r="B34" s="16" t="s">
        <v>13</v>
      </c>
      <c r="C34" s="19">
        <f>IF(cb_zeefgrond=FALSE,0,cell_zeefgrond)</f>
        <v>0</v>
      </c>
      <c r="D34" s="17" t="s">
        <v>223</v>
      </c>
      <c r="E34" s="1"/>
      <c r="F34" s="17" t="s">
        <v>286</v>
      </c>
      <c r="G34" s="50"/>
      <c r="H34" s="1"/>
    </row>
    <row r="35" spans="1:8" x14ac:dyDescent="0.3">
      <c r="A35" s="1"/>
      <c r="B35" s="17"/>
      <c r="C35" s="1"/>
      <c r="D35" s="17"/>
      <c r="E35" s="1"/>
      <c r="F35" s="17"/>
      <c r="G35" s="1"/>
      <c r="H35" s="1"/>
    </row>
    <row r="36" spans="1:8" x14ac:dyDescent="0.3">
      <c r="A36" s="1"/>
      <c r="B36" s="15" t="s">
        <v>14</v>
      </c>
      <c r="C36" s="1"/>
      <c r="D36" s="17"/>
      <c r="E36" s="1"/>
      <c r="F36" s="17"/>
      <c r="G36" s="1"/>
      <c r="H36" s="1"/>
    </row>
    <row r="37" spans="1:8" x14ac:dyDescent="0.3">
      <c r="A37" s="1"/>
      <c r="B37" s="16" t="s">
        <v>15</v>
      </c>
      <c r="C37" s="19">
        <f>IF(cb_bokashi=FALSE,0,cell_bokashi)</f>
        <v>0</v>
      </c>
      <c r="D37" s="17" t="s">
        <v>223</v>
      </c>
      <c r="E37" s="1"/>
      <c r="F37" s="17" t="s">
        <v>286</v>
      </c>
      <c r="G37" s="50"/>
      <c r="H37" s="1"/>
    </row>
    <row r="38" spans="1:8" x14ac:dyDescent="0.3">
      <c r="A38" s="1"/>
      <c r="B38" s="16"/>
      <c r="C38" s="1"/>
      <c r="D38" s="17"/>
      <c r="E38" s="1"/>
      <c r="F38" s="17"/>
      <c r="G38" s="1"/>
      <c r="H38" s="1"/>
    </row>
    <row r="39" spans="1:8" x14ac:dyDescent="0.3">
      <c r="A39" s="1"/>
      <c r="B39" s="18" t="s">
        <v>131</v>
      </c>
      <c r="C39" s="1"/>
      <c r="D39" s="17"/>
      <c r="E39" s="1"/>
      <c r="F39" s="17"/>
      <c r="G39" s="1"/>
      <c r="H39" s="1"/>
    </row>
    <row r="40" spans="1:8" x14ac:dyDescent="0.3">
      <c r="A40" s="1"/>
      <c r="B40" s="16" t="s">
        <v>161</v>
      </c>
      <c r="C40" s="19">
        <f>IF(cb_klein_kring=FALSE,0,cell_klein_kring)</f>
        <v>0</v>
      </c>
      <c r="D40" s="17" t="s">
        <v>223</v>
      </c>
      <c r="E40" s="1"/>
      <c r="F40" s="17" t="s">
        <v>286</v>
      </c>
      <c r="G40" s="50"/>
      <c r="H40" s="1"/>
    </row>
    <row r="41" spans="1:8" x14ac:dyDescent="0.3">
      <c r="A41" s="1"/>
      <c r="B41" s="16"/>
      <c r="C41" s="1"/>
      <c r="D41" s="17"/>
      <c r="E41" s="1"/>
      <c r="F41" s="17"/>
      <c r="G41" s="1"/>
      <c r="H41" s="1"/>
    </row>
    <row r="42" spans="1:8" ht="21.95" customHeight="1" x14ac:dyDescent="0.3">
      <c r="A42" s="1"/>
      <c r="B42" s="130" t="s">
        <v>36</v>
      </c>
      <c r="C42" s="1"/>
      <c r="D42" s="17"/>
      <c r="E42" s="1"/>
      <c r="F42" s="17"/>
      <c r="G42" s="1"/>
      <c r="H42" s="1"/>
    </row>
    <row r="43" spans="1:8" ht="17.25" x14ac:dyDescent="0.3">
      <c r="A43" s="1"/>
      <c r="B43" s="16" t="s">
        <v>296</v>
      </c>
      <c r="C43" s="50"/>
      <c r="D43" s="17" t="s">
        <v>245</v>
      </c>
      <c r="E43" s="1"/>
      <c r="F43" s="17" t="s">
        <v>286</v>
      </c>
      <c r="G43" s="50"/>
      <c r="H43" s="1"/>
    </row>
    <row r="44" spans="1:8" ht="17.25" x14ac:dyDescent="0.3">
      <c r="A44" s="1"/>
      <c r="B44" s="16" t="s">
        <v>297</v>
      </c>
      <c r="C44" s="50"/>
      <c r="D44" s="17" t="s">
        <v>245</v>
      </c>
      <c r="E44" s="1"/>
      <c r="F44" s="17" t="s">
        <v>286</v>
      </c>
      <c r="G44" s="50"/>
      <c r="H44" s="1"/>
    </row>
    <row r="45" spans="1:8" x14ac:dyDescent="0.3">
      <c r="A45" s="1"/>
      <c r="B45" s="38" t="s">
        <v>298</v>
      </c>
      <c r="C45" s="50"/>
      <c r="D45" s="17" t="s">
        <v>278</v>
      </c>
      <c r="E45" s="1"/>
      <c r="F45" s="17" t="s">
        <v>286</v>
      </c>
      <c r="G45" s="50"/>
      <c r="H45" s="1"/>
    </row>
    <row r="46" spans="1:8" x14ac:dyDescent="0.3">
      <c r="A46" s="1"/>
      <c r="B46" s="16"/>
      <c r="C46" s="1"/>
      <c r="D46" s="17"/>
      <c r="E46" s="1"/>
      <c r="F46" s="17"/>
      <c r="G46" s="1"/>
      <c r="H46" s="1"/>
    </row>
    <row r="47" spans="1:8" ht="24.95" customHeight="1" x14ac:dyDescent="0.3">
      <c r="A47" s="1"/>
      <c r="B47" s="130" t="s">
        <v>293</v>
      </c>
      <c r="C47" s="1"/>
      <c r="D47" s="17"/>
      <c r="E47" s="1"/>
      <c r="F47" s="17"/>
      <c r="G47" s="1"/>
      <c r="H47" s="1"/>
    </row>
    <row r="48" spans="1:8" x14ac:dyDescent="0.3">
      <c r="A48" s="1"/>
      <c r="B48" s="16" t="s">
        <v>244</v>
      </c>
      <c r="C48" s="50"/>
      <c r="D48" s="17" t="s">
        <v>223</v>
      </c>
      <c r="E48" s="1"/>
      <c r="F48" s="17" t="s">
        <v>286</v>
      </c>
      <c r="G48" s="50"/>
      <c r="H48" s="1"/>
    </row>
    <row r="49" spans="1:9" x14ac:dyDescent="0.3">
      <c r="A49" s="1"/>
      <c r="B49" s="16" t="s">
        <v>57</v>
      </c>
      <c r="C49" s="71"/>
      <c r="D49" s="17" t="s">
        <v>223</v>
      </c>
      <c r="E49" s="1"/>
      <c r="F49" s="17" t="s">
        <v>286</v>
      </c>
      <c r="G49" s="50"/>
      <c r="H49" s="1"/>
    </row>
    <row r="50" spans="1:9" x14ac:dyDescent="0.3">
      <c r="A50" s="1"/>
      <c r="B50" s="16"/>
      <c r="C50" s="1"/>
      <c r="D50" s="17"/>
      <c r="E50" s="1"/>
      <c r="F50" s="17"/>
      <c r="G50" s="1"/>
      <c r="H50" s="1"/>
    </row>
    <row r="51" spans="1:9" x14ac:dyDescent="0.3">
      <c r="A51" s="1"/>
      <c r="B51" s="130" t="s">
        <v>295</v>
      </c>
      <c r="C51" s="1"/>
      <c r="D51" s="17"/>
      <c r="E51" s="1"/>
      <c r="F51" s="17"/>
      <c r="G51" s="1"/>
      <c r="H51" s="1"/>
    </row>
    <row r="52" spans="1:9" x14ac:dyDescent="0.3">
      <c r="A52" s="1"/>
      <c r="B52" s="16" t="s">
        <v>294</v>
      </c>
      <c r="C52" s="19">
        <f>IF(cb_hergebruik=FALSE,0,cell_hergebruik)</f>
        <v>0</v>
      </c>
      <c r="D52" s="17" t="s">
        <v>223</v>
      </c>
      <c r="E52" s="1"/>
      <c r="F52" s="17" t="s">
        <v>286</v>
      </c>
      <c r="G52" s="50"/>
      <c r="H52" s="1"/>
    </row>
    <row r="53" spans="1:9" x14ac:dyDescent="0.3">
      <c r="A53" s="1"/>
      <c r="B53" s="17"/>
      <c r="C53" s="1"/>
      <c r="D53" s="17"/>
      <c r="E53" s="1"/>
      <c r="F53" s="17"/>
      <c r="G53" s="1"/>
      <c r="H53" s="1"/>
    </row>
    <row r="54" spans="1:9" ht="24.95" customHeight="1" x14ac:dyDescent="0.3">
      <c r="A54" s="1"/>
      <c r="B54" s="119" t="s">
        <v>287</v>
      </c>
      <c r="C54" s="1"/>
      <c r="D54" s="17"/>
      <c r="E54" s="1"/>
      <c r="F54" s="17"/>
      <c r="G54" s="1"/>
      <c r="H54" s="1"/>
    </row>
    <row r="55" spans="1:9" x14ac:dyDescent="0.3">
      <c r="A55" s="1"/>
      <c r="B55" s="16" t="s">
        <v>246</v>
      </c>
      <c r="C55" s="72"/>
      <c r="D55" s="17" t="s">
        <v>5</v>
      </c>
      <c r="E55" s="1"/>
      <c r="F55" s="17" t="s">
        <v>286</v>
      </c>
      <c r="G55" s="50"/>
      <c r="H55" s="1"/>
    </row>
    <row r="56" spans="1:9" x14ac:dyDescent="0.3">
      <c r="A56" s="1"/>
      <c r="B56" s="16" t="s">
        <v>247</v>
      </c>
      <c r="C56" s="50"/>
      <c r="D56" s="17" t="s">
        <v>42</v>
      </c>
      <c r="E56" s="1"/>
      <c r="F56" s="17" t="s">
        <v>286</v>
      </c>
      <c r="G56" s="50"/>
      <c r="H56" s="1"/>
    </row>
    <row r="57" spans="1:9" ht="16.5" x14ac:dyDescent="0.35">
      <c r="A57" s="1"/>
      <c r="B57" s="16" t="s">
        <v>248</v>
      </c>
      <c r="C57" s="50"/>
      <c r="D57" s="17" t="s">
        <v>235</v>
      </c>
      <c r="E57" s="1"/>
      <c r="F57" s="17" t="s">
        <v>286</v>
      </c>
      <c r="G57" s="50"/>
      <c r="H57" s="1"/>
    </row>
    <row r="58" spans="1:9" x14ac:dyDescent="0.3">
      <c r="A58" s="1"/>
      <c r="B58" s="16" t="s">
        <v>249</v>
      </c>
      <c r="C58" s="50"/>
      <c r="D58" s="17" t="str">
        <f>Achtergrond!$M$186</f>
        <v>g K2O/kg ds</v>
      </c>
      <c r="E58" s="1"/>
      <c r="F58" s="17" t="s">
        <v>286</v>
      </c>
      <c r="G58" s="50"/>
      <c r="H58" s="1"/>
    </row>
    <row r="59" spans="1:9" x14ac:dyDescent="0.3">
      <c r="A59" s="1"/>
      <c r="B59" s="16" t="s">
        <v>250</v>
      </c>
      <c r="C59" s="50"/>
      <c r="D59" s="17" t="s">
        <v>48</v>
      </c>
      <c r="E59" s="1"/>
      <c r="F59" s="17" t="s">
        <v>286</v>
      </c>
      <c r="G59" s="50"/>
      <c r="H59" s="1"/>
    </row>
    <row r="60" spans="1:9" x14ac:dyDescent="0.3">
      <c r="A60" s="1"/>
      <c r="B60" s="92" t="s">
        <v>251</v>
      </c>
      <c r="C60" s="1"/>
      <c r="D60" s="17"/>
      <c r="E60" s="1"/>
      <c r="F60" s="17"/>
      <c r="G60" s="1"/>
      <c r="H60" s="1"/>
    </row>
    <row r="61" spans="1:9" x14ac:dyDescent="0.3">
      <c r="A61" s="1"/>
      <c r="B61" s="17"/>
      <c r="C61" s="91"/>
      <c r="D61" s="1"/>
      <c r="E61" s="1"/>
      <c r="F61" s="17"/>
      <c r="G61" s="1"/>
      <c r="H61" s="1"/>
    </row>
    <row r="62" spans="1:9" x14ac:dyDescent="0.3">
      <c r="A62" s="1"/>
      <c r="B62" s="15" t="s">
        <v>267</v>
      </c>
      <c r="C62" s="1"/>
      <c r="D62" s="1"/>
      <c r="E62" s="1"/>
      <c r="F62" s="17"/>
      <c r="G62" s="1"/>
      <c r="H62" s="1"/>
    </row>
    <row r="63" spans="1:9" x14ac:dyDescent="0.3">
      <c r="A63" s="1"/>
      <c r="B63" s="16" t="s">
        <v>51</v>
      </c>
      <c r="C63" s="70"/>
      <c r="D63" s="17"/>
      <c r="E63" s="1"/>
      <c r="F63" s="17" t="s">
        <v>286</v>
      </c>
      <c r="G63" s="50"/>
      <c r="H63" s="1"/>
      <c r="I63" s="28"/>
    </row>
    <row r="64" spans="1:9" x14ac:dyDescent="0.3">
      <c r="A64" s="1"/>
      <c r="B64" s="92" t="s">
        <v>268</v>
      </c>
      <c r="C64" s="91"/>
      <c r="D64" s="17"/>
      <c r="E64" s="1"/>
      <c r="F64" s="17"/>
      <c r="G64" s="1"/>
      <c r="H64" s="1"/>
      <c r="I64" s="28"/>
    </row>
    <row r="65" spans="1:9" x14ac:dyDescent="0.3">
      <c r="A65" s="1"/>
      <c r="B65" s="16" t="s">
        <v>288</v>
      </c>
      <c r="C65" s="70"/>
      <c r="D65" s="17"/>
      <c r="E65" s="1"/>
      <c r="F65" s="17" t="s">
        <v>286</v>
      </c>
      <c r="G65" s="50"/>
      <c r="H65" s="1"/>
      <c r="I65" s="28"/>
    </row>
    <row r="66" spans="1:9" x14ac:dyDescent="0.3">
      <c r="A66" s="1"/>
      <c r="B66" s="92" t="s">
        <v>289</v>
      </c>
      <c r="C66" s="1"/>
      <c r="D66" s="17"/>
      <c r="E66" s="1"/>
      <c r="F66" s="17"/>
      <c r="G66" s="1"/>
      <c r="H66" s="1"/>
      <c r="I66" s="28"/>
    </row>
    <row r="67" spans="1:9" x14ac:dyDescent="0.3">
      <c r="A67" s="1"/>
      <c r="B67" s="16" t="s">
        <v>53</v>
      </c>
      <c r="C67" s="70"/>
      <c r="D67" s="17"/>
      <c r="E67" s="1"/>
      <c r="F67" s="17" t="s">
        <v>286</v>
      </c>
      <c r="G67" s="50"/>
      <c r="H67" s="1"/>
      <c r="I67" s="28"/>
    </row>
    <row r="68" spans="1:9" x14ac:dyDescent="0.3">
      <c r="A68" s="1"/>
      <c r="B68" s="16" t="s">
        <v>269</v>
      </c>
      <c r="C68" s="70"/>
      <c r="D68" s="17"/>
      <c r="E68" s="1"/>
      <c r="F68" s="17" t="s">
        <v>286</v>
      </c>
      <c r="G68" s="50"/>
      <c r="H68" s="1"/>
      <c r="I68" s="28"/>
    </row>
    <row r="69" spans="1:9" x14ac:dyDescent="0.3">
      <c r="A69" s="1"/>
      <c r="B69" s="92" t="s">
        <v>270</v>
      </c>
      <c r="C69" s="17"/>
      <c r="D69" s="17"/>
      <c r="E69" s="1"/>
      <c r="F69" s="17"/>
      <c r="G69" s="1"/>
      <c r="H69" s="1"/>
      <c r="I69" s="28"/>
    </row>
    <row r="70" spans="1:9" x14ac:dyDescent="0.3">
      <c r="A70" s="1"/>
      <c r="B70" s="16" t="s">
        <v>272</v>
      </c>
      <c r="C70" s="129">
        <f>1-SUM('3. Bewerking'!C63,'3. Bewerking'!C65,C67:C68)</f>
        <v>1</v>
      </c>
      <c r="D70" s="17"/>
      <c r="E70" s="1"/>
      <c r="F70" s="17" t="s">
        <v>286</v>
      </c>
      <c r="G70" s="50"/>
      <c r="H70" s="1"/>
      <c r="I70" s="28"/>
    </row>
    <row r="71" spans="1:9" x14ac:dyDescent="0.3">
      <c r="A71" s="1"/>
      <c r="B71" s="92" t="s">
        <v>271</v>
      </c>
      <c r="C71" s="17"/>
      <c r="D71" s="17"/>
      <c r="E71" s="1"/>
      <c r="F71" s="1"/>
      <c r="G71" s="1"/>
      <c r="H71" s="1"/>
      <c r="I71" s="28"/>
    </row>
    <row r="72" spans="1:9" x14ac:dyDescent="0.3">
      <c r="A72" s="1"/>
      <c r="B72" s="16"/>
      <c r="C72" s="1"/>
      <c r="D72" s="1"/>
      <c r="E72" s="1"/>
      <c r="F72" s="1"/>
      <c r="G72" s="1"/>
      <c r="H72" s="1"/>
    </row>
    <row r="73" spans="1:9" x14ac:dyDescent="0.3">
      <c r="A73" s="1"/>
      <c r="B73" s="18"/>
      <c r="C73" s="91"/>
      <c r="D73" s="1"/>
      <c r="E73" s="1"/>
      <c r="F73" s="1"/>
      <c r="G73" s="1"/>
      <c r="H73" s="1"/>
    </row>
    <row r="74" spans="1:9" ht="9" customHeight="1" x14ac:dyDescent="0.3">
      <c r="A74" s="1"/>
      <c r="B74" s="6"/>
      <c r="C74" s="1"/>
      <c r="D74" s="1"/>
      <c r="E74" s="1"/>
      <c r="F74" s="1"/>
      <c r="G74" s="1"/>
      <c r="H74" s="1"/>
    </row>
    <row r="75" spans="1:9" ht="32.450000000000003" customHeight="1" thickBot="1" x14ac:dyDescent="0.35">
      <c r="A75" s="1"/>
      <c r="B75" s="49" t="s">
        <v>58</v>
      </c>
      <c r="C75" s="131" t="s">
        <v>303</v>
      </c>
      <c r="D75" s="159" t="s">
        <v>59</v>
      </c>
      <c r="E75" s="159"/>
      <c r="F75" s="159" t="s">
        <v>302</v>
      </c>
      <c r="G75" s="159"/>
      <c r="H75" s="1"/>
    </row>
    <row r="76" spans="1:9" ht="16.5" thickTop="1" thickBot="1" x14ac:dyDescent="0.35">
      <c r="A76" s="1"/>
      <c r="B76" s="66"/>
      <c r="C76" s="67"/>
      <c r="D76" s="157"/>
      <c r="E76" s="158"/>
      <c r="F76" s="157"/>
      <c r="G76" s="158"/>
      <c r="H76" s="1"/>
    </row>
    <row r="77" spans="1:9" ht="16.5" thickTop="1" thickBot="1" x14ac:dyDescent="0.35">
      <c r="A77" s="1"/>
      <c r="B77" s="66"/>
      <c r="C77" s="67"/>
      <c r="D77" s="157"/>
      <c r="E77" s="158"/>
      <c r="F77" s="157"/>
      <c r="G77" s="158"/>
      <c r="H77" s="1"/>
    </row>
    <row r="78" spans="1:9" ht="16.5" thickTop="1" thickBot="1" x14ac:dyDescent="0.35">
      <c r="A78" s="1"/>
      <c r="B78" s="66"/>
      <c r="C78" s="67"/>
      <c r="D78" s="157"/>
      <c r="E78" s="158"/>
      <c r="F78" s="157"/>
      <c r="G78" s="158"/>
      <c r="H78" s="1"/>
    </row>
    <row r="79" spans="1:9" ht="15.75" thickTop="1" x14ac:dyDescent="0.3">
      <c r="A79" s="1"/>
      <c r="B79" s="1"/>
      <c r="C79" s="1"/>
      <c r="D79" s="1"/>
      <c r="E79" s="1"/>
      <c r="F79" s="1"/>
      <c r="G79" s="1"/>
      <c r="H79" s="1"/>
    </row>
    <row r="80" spans="1:9" x14ac:dyDescent="0.3">
      <c r="A80" s="1"/>
      <c r="B80" s="1"/>
      <c r="C80" s="1"/>
      <c r="D80" s="1"/>
      <c r="E80" s="1"/>
      <c r="F80" s="1"/>
      <c r="G80" s="1"/>
      <c r="H80" s="1"/>
    </row>
    <row r="81" spans="1:10" x14ac:dyDescent="0.3">
      <c r="A81" s="1"/>
      <c r="B81" s="1"/>
      <c r="C81" s="1"/>
      <c r="D81" s="1"/>
      <c r="E81" s="1"/>
      <c r="F81" s="1"/>
      <c r="G81" s="1"/>
      <c r="H81" s="1"/>
    </row>
    <row r="82" spans="1:10" ht="23.45" customHeight="1" x14ac:dyDescent="0.3">
      <c r="A82" s="1"/>
      <c r="B82" s="153"/>
      <c r="C82" s="153"/>
      <c r="D82" s="153"/>
      <c r="E82" s="153"/>
      <c r="F82" s="153"/>
      <c r="G82" s="1"/>
      <c r="H82" s="1"/>
    </row>
    <row r="83" spans="1:10" x14ac:dyDescent="0.3">
      <c r="A83" s="1"/>
      <c r="B83" s="1"/>
      <c r="C83" s="1"/>
      <c r="D83" s="1"/>
      <c r="E83" s="1"/>
      <c r="F83" s="1"/>
      <c r="G83" s="1"/>
      <c r="H83" s="1"/>
    </row>
    <row r="84" spans="1:10" x14ac:dyDescent="0.3">
      <c r="A84" s="155"/>
      <c r="B84" s="155"/>
      <c r="C84" s="155"/>
      <c r="D84" s="155"/>
      <c r="E84" s="155"/>
      <c r="F84" s="155"/>
      <c r="G84" s="155"/>
      <c r="H84" s="155"/>
    </row>
    <row r="85" spans="1:10" x14ac:dyDescent="0.3">
      <c r="A85" s="155"/>
      <c r="B85" s="155"/>
      <c r="C85" s="155"/>
      <c r="D85" s="155"/>
      <c r="E85" s="155"/>
      <c r="F85" s="155"/>
      <c r="G85" s="155"/>
      <c r="H85" s="155"/>
      <c r="J85" s="7"/>
    </row>
    <row r="86" spans="1:10" x14ac:dyDescent="0.3">
      <c r="A86" s="155"/>
      <c r="B86" s="155"/>
      <c r="C86" s="155"/>
      <c r="D86" s="155"/>
      <c r="E86" s="155"/>
      <c r="F86" s="155"/>
      <c r="G86" s="155"/>
      <c r="H86" s="155"/>
    </row>
    <row r="87" spans="1:10" hidden="1" x14ac:dyDescent="0.3">
      <c r="C87" t="str">
        <f>Achtergrond!P151</f>
        <v/>
      </c>
    </row>
    <row r="88" spans="1:10" hidden="1" x14ac:dyDescent="0.3">
      <c r="C88" t="str">
        <f>Achtergrond!P152</f>
        <v/>
      </c>
    </row>
    <row r="89" spans="1:10" hidden="1" x14ac:dyDescent="0.3">
      <c r="C89" t="str">
        <f>Achtergrond!P154</f>
        <v/>
      </c>
    </row>
    <row r="90" spans="1:10" hidden="1" x14ac:dyDescent="0.3">
      <c r="C90" t="str">
        <f>Achtergrond!P155</f>
        <v/>
      </c>
    </row>
    <row r="91" spans="1:10" hidden="1" x14ac:dyDescent="0.3">
      <c r="C91" t="str">
        <f>Achtergrond!P156</f>
        <v/>
      </c>
    </row>
    <row r="92" spans="1:10" hidden="1" x14ac:dyDescent="0.3">
      <c r="C92" t="str">
        <f>Achtergrond!P157</f>
        <v/>
      </c>
    </row>
    <row r="93" spans="1:10" hidden="1" x14ac:dyDescent="0.3">
      <c r="C93" t="str">
        <f>Achtergrond!P158</f>
        <v/>
      </c>
    </row>
    <row r="94" spans="1:10" hidden="1" x14ac:dyDescent="0.3">
      <c r="C94" t="str">
        <f>Achtergrond!P159</f>
        <v/>
      </c>
    </row>
    <row r="95" spans="1:10" hidden="1" x14ac:dyDescent="0.3">
      <c r="C95" t="str">
        <f>Achtergrond!P160</f>
        <v/>
      </c>
    </row>
    <row r="96" spans="1:10" hidden="1" x14ac:dyDescent="0.3">
      <c r="C96" t="str">
        <f>Achtergrond!P161</f>
        <v/>
      </c>
    </row>
    <row r="97" spans="3:3" hidden="1" x14ac:dyDescent="0.3">
      <c r="C97" t="str">
        <f>Achtergrond!P162</f>
        <v/>
      </c>
    </row>
    <row r="98" spans="3:3" hidden="1" x14ac:dyDescent="0.3">
      <c r="C98" t="str">
        <f>Achtergrond!P163</f>
        <v/>
      </c>
    </row>
    <row r="99" spans="3:3" hidden="1" x14ac:dyDescent="0.3">
      <c r="C99" t="str">
        <f>Achtergrond!P164</f>
        <v/>
      </c>
    </row>
    <row r="100" spans="3:3" hidden="1" x14ac:dyDescent="0.3">
      <c r="C100" t="str">
        <f>Achtergrond!P165</f>
        <v/>
      </c>
    </row>
    <row r="101" spans="3:3" hidden="1" x14ac:dyDescent="0.3">
      <c r="C101" t="str">
        <f>Achtergrond!P166</f>
        <v/>
      </c>
    </row>
    <row r="102" spans="3:3" hidden="1" x14ac:dyDescent="0.3">
      <c r="C102" t="str">
        <f>Achtergrond!P167</f>
        <v/>
      </c>
    </row>
    <row r="103" spans="3:3" hidden="1" x14ac:dyDescent="0.3">
      <c r="C103" t="str">
        <f>Achtergrond!P168</f>
        <v/>
      </c>
    </row>
    <row r="104" spans="3:3" hidden="1" x14ac:dyDescent="0.3">
      <c r="C104" t="str">
        <f>Achtergrond!P169</f>
        <v/>
      </c>
    </row>
    <row r="105" spans="3:3" hidden="1" x14ac:dyDescent="0.3">
      <c r="C105" t="str">
        <f>Achtergrond!P170</f>
        <v/>
      </c>
    </row>
    <row r="106" spans="3:3" hidden="1" x14ac:dyDescent="0.3">
      <c r="C106" t="str">
        <f>Achtergrond!P171</f>
        <v/>
      </c>
    </row>
    <row r="107" spans="3:3" hidden="1" x14ac:dyDescent="0.3">
      <c r="C107" t="str">
        <f>Achtergrond!P174</f>
        <v/>
      </c>
    </row>
    <row r="108" spans="3:3" hidden="1" x14ac:dyDescent="0.3">
      <c r="C108" t="str">
        <f>Achtergrond!P175</f>
        <v/>
      </c>
    </row>
    <row r="109" spans="3:3" hidden="1" x14ac:dyDescent="0.3">
      <c r="C109" t="str">
        <f>Achtergrond!P176</f>
        <v/>
      </c>
    </row>
    <row r="110" spans="3:3" hidden="1" x14ac:dyDescent="0.3">
      <c r="C110" t="str">
        <f>Achtergrond!P177</f>
        <v/>
      </c>
    </row>
    <row r="111" spans="3:3" hidden="1" x14ac:dyDescent="0.3">
      <c r="C111" t="str">
        <f>Achtergrond!P178</f>
        <v/>
      </c>
    </row>
    <row r="112" spans="3:3" hidden="1" x14ac:dyDescent="0.3">
      <c r="C112" t="str">
        <f>Achtergrond!P179</f>
        <v/>
      </c>
    </row>
    <row r="113" spans="3:3" hidden="1" x14ac:dyDescent="0.3">
      <c r="C113">
        <f>Achtergrond!P180</f>
        <v>0</v>
      </c>
    </row>
    <row r="114" spans="3:3" hidden="1" x14ac:dyDescent="0.3">
      <c r="C114" t="str">
        <f>Achtergrond!P181</f>
        <v/>
      </c>
    </row>
    <row r="115" spans="3:3" hidden="1" x14ac:dyDescent="0.3">
      <c r="C115" t="str">
        <f>Achtergrond!P182</f>
        <v/>
      </c>
    </row>
    <row r="116" spans="3:3" hidden="1" x14ac:dyDescent="0.3">
      <c r="C116" t="str">
        <f>Achtergrond!P183</f>
        <v/>
      </c>
    </row>
    <row r="117" spans="3:3" hidden="1" x14ac:dyDescent="0.3">
      <c r="C117" t="str">
        <f>Achtergrond!P184</f>
        <v/>
      </c>
    </row>
    <row r="118" spans="3:3" hidden="1" x14ac:dyDescent="0.3">
      <c r="C118" t="str">
        <f>Achtergrond!P185</f>
        <v/>
      </c>
    </row>
    <row r="119" spans="3:3" hidden="1" x14ac:dyDescent="0.3">
      <c r="C119" t="str">
        <f>Achtergrond!P186</f>
        <v/>
      </c>
    </row>
    <row r="120" spans="3:3" hidden="1" x14ac:dyDescent="0.3">
      <c r="C120" t="str">
        <f>Achtergrond!P187</f>
        <v/>
      </c>
    </row>
    <row r="121" spans="3:3" hidden="1" x14ac:dyDescent="0.3">
      <c r="C121" t="str">
        <f>Achtergrond!P188</f>
        <v/>
      </c>
    </row>
    <row r="122" spans="3:3" hidden="1" x14ac:dyDescent="0.3">
      <c r="C122" t="str">
        <f>Achtergrond!P189</f>
        <v>Gewicht (kg)</v>
      </c>
    </row>
    <row r="123" spans="3:3" hidden="1" x14ac:dyDescent="0.3">
      <c r="C123" t="str">
        <f>Achtergrond!P190</f>
        <v/>
      </c>
    </row>
    <row r="124" spans="3:3" hidden="1" x14ac:dyDescent="0.3">
      <c r="C124" t="str">
        <f>Achtergrond!P191</f>
        <v/>
      </c>
    </row>
    <row r="125" spans="3:3" hidden="1" x14ac:dyDescent="0.3">
      <c r="C125" t="str">
        <f>Achtergrond!P192</f>
        <v/>
      </c>
    </row>
    <row r="126" spans="3:3" hidden="1" x14ac:dyDescent="0.3">
      <c r="C126" t="str">
        <f>Achtergrond!P193</f>
        <v/>
      </c>
    </row>
    <row r="127" spans="3:3" hidden="1" x14ac:dyDescent="0.3">
      <c r="C127">
        <f>Achtergrond!P195</f>
        <v>0</v>
      </c>
    </row>
    <row r="128" spans="3:3" hidden="1" x14ac:dyDescent="0.3">
      <c r="C128" t="str">
        <f>Achtergrond!P196</f>
        <v/>
      </c>
    </row>
    <row r="129" spans="3:3" hidden="1" x14ac:dyDescent="0.3">
      <c r="C129" t="str">
        <f>Achtergrond!P197</f>
        <v/>
      </c>
    </row>
    <row r="130" spans="3:3" hidden="1" x14ac:dyDescent="0.3">
      <c r="C130" t="str">
        <f>Achtergrond!P198</f>
        <v/>
      </c>
    </row>
    <row r="131" spans="3:3" hidden="1" x14ac:dyDescent="0.3">
      <c r="C131">
        <f>Achtergrond!P199</f>
        <v>0</v>
      </c>
    </row>
    <row r="132" spans="3:3" hidden="1" x14ac:dyDescent="0.3">
      <c r="C132" t="e">
        <f>Achtergrond!#REF!</f>
        <v>#REF!</v>
      </c>
    </row>
    <row r="133" spans="3:3" hidden="1" x14ac:dyDescent="0.3">
      <c r="C133" t="str">
        <f>Achtergrond!P201</f>
        <v/>
      </c>
    </row>
  </sheetData>
  <sheetProtection algorithmName="SHA-512" hashValue="6MdljKPwE57TJHzOVk3Ky0EUtyuaTtFUOCv613Y2tmCInFl1rEtUB1EsVO6y7bsGNxGYWMK5orF5OxKIEQYuWA==" saltValue="H2KbrTBDiFPqgvjndprvOQ==" spinCount="100000" sheet="1" objects="1" scenarios="1" selectLockedCells="1"/>
  <mergeCells count="11">
    <mergeCell ref="A1:H3"/>
    <mergeCell ref="A84:H86"/>
    <mergeCell ref="F76:G76"/>
    <mergeCell ref="F77:G77"/>
    <mergeCell ref="F78:G78"/>
    <mergeCell ref="F75:G75"/>
    <mergeCell ref="B82:F82"/>
    <mergeCell ref="D75:E75"/>
    <mergeCell ref="D78:E78"/>
    <mergeCell ref="D77:E77"/>
    <mergeCell ref="D76:E76"/>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Box1">
              <controlPr locked="0" defaultSize="0" autoFill="0" autoLine="0" autoPict="0">
                <anchor moveWithCells="1">
                  <from>
                    <xdr:col>0</xdr:col>
                    <xdr:colOff>180975</xdr:colOff>
                    <xdr:row>78</xdr:row>
                    <xdr:rowOff>95250</xdr:rowOff>
                  </from>
                  <to>
                    <xdr:col>6</xdr:col>
                    <xdr:colOff>142875</xdr:colOff>
                    <xdr:row>79</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89" id="{3E7E1736-8E1D-4E13-BC90-544E31197AD7}">
            <xm:f>Achtergrond!$E$262</xm:f>
            <x14:dxf>
              <font>
                <color theme="1"/>
              </font>
            </x14:dxf>
          </x14:cfRule>
          <xm:sqref>B4:G6 D8:D13 B7:B12 F8:F12</xm:sqref>
        </x14:conditionalFormatting>
        <x14:conditionalFormatting xmlns:xm="http://schemas.microsoft.com/office/excel/2006/main">
          <x14:cfRule type="expression" priority="792" id="{2EBF31D4-D417-4CBA-A22E-2DF8E12226D9}">
            <xm:f>Achtergrond!$E$263</xm:f>
            <x14:dxf>
              <font>
                <color theme="1"/>
              </font>
            </x14:dxf>
          </x14:cfRule>
          <xm:sqref>B15:B16 D16:D22 B18:B22 F16 F18:F22</xm:sqref>
        </x14:conditionalFormatting>
        <x14:conditionalFormatting xmlns:xm="http://schemas.microsoft.com/office/excel/2006/main">
          <x14:cfRule type="expression" priority="795" id="{5015F506-857B-4709-B5DD-B0C1A58156D7}">
            <xm:f>Achtergrond!$E$264</xm:f>
            <x14:dxf>
              <font>
                <color theme="1"/>
              </font>
            </x14:dxf>
          </x14:cfRule>
          <xm:sqref>B24:B25 D25:D31 B27:B31 F25 F27:F31</xm:sqref>
        </x14:conditionalFormatting>
        <x14:conditionalFormatting xmlns:xm="http://schemas.microsoft.com/office/excel/2006/main">
          <x14:cfRule type="expression" priority="798" id="{BD96ED11-7951-464F-833F-D71E85AB2990}">
            <xm:f>Achtergrond!$E$265</xm:f>
            <x14:dxf>
              <font>
                <color theme="1"/>
              </font>
            </x14:dxf>
          </x14:cfRule>
          <xm:sqref>B36:B37 D37 F37</xm:sqref>
        </x14:conditionalFormatting>
        <x14:conditionalFormatting xmlns:xm="http://schemas.microsoft.com/office/excel/2006/main">
          <x14:cfRule type="expression" priority="800" id="{7038A44F-DBE9-4526-96EC-02465D9157B4}">
            <xm:f>Achtergrond!$E$267</xm:f>
            <x14:dxf>
              <font>
                <color theme="1"/>
              </font>
            </x14:dxf>
          </x14:cfRule>
          <xm:sqref>B70 B65 D63:D71 B61:B63 B54:B59 B67:B68 C69 C71 F55:F59 F63 F65 F67:F68 F70 D55:D60</xm:sqref>
        </x14:conditionalFormatting>
        <x14:conditionalFormatting xmlns:xm="http://schemas.microsoft.com/office/excel/2006/main">
          <x14:cfRule type="expression" priority="808" id="{A4CD6268-3FD6-460D-8684-562596C53B31}">
            <xm:f>Achtergrond!$E$267</xm:f>
            <x14:dxf>
              <fill>
                <patternFill>
                  <bgColor theme="2"/>
                </patternFill>
              </fill>
            </x14:dxf>
          </x14:cfRule>
          <xm:sqref>C63 C70 C65 C55:C59 C67:C68 G55:G59 G63 G65 G67:G68 G70</xm:sqref>
        </x14:conditionalFormatting>
        <x14:conditionalFormatting xmlns:xm="http://schemas.microsoft.com/office/excel/2006/main">
          <x14:cfRule type="expression" priority="814" id="{36DCAA97-BCD1-4ED7-A840-820DB1CC4B31}">
            <xm:f>Achtergrond!$E$269</xm:f>
            <x14:dxf>
              <font>
                <color theme="1"/>
              </font>
            </x14:dxf>
          </x14:cfRule>
          <xm:sqref>B42:B45 D43:D45 F43:F45</xm:sqref>
        </x14:conditionalFormatting>
        <x14:conditionalFormatting xmlns:xm="http://schemas.microsoft.com/office/excel/2006/main">
          <x14:cfRule type="expression" priority="816" id="{FB774FF2-DB4B-447E-BCBF-C97A9203A76F}">
            <xm:f>Achtergrond!$E$270</xm:f>
            <x14:dxf>
              <font>
                <color theme="1"/>
              </font>
            </x14:dxf>
          </x14:cfRule>
          <xm:sqref>D48:D49 B47:B49 F48:F49</xm:sqref>
        </x14:conditionalFormatting>
        <x14:conditionalFormatting xmlns:xm="http://schemas.microsoft.com/office/excel/2006/main">
          <x14:cfRule type="expression" priority="818" id="{D54BD845-7C7E-4036-821F-DB92978B03AD}">
            <xm:f>Achtergrond!$E$271</xm:f>
            <x14:dxf>
              <font>
                <color theme="1"/>
              </font>
            </x14:dxf>
          </x14:cfRule>
          <xm:sqref>B73 B75:G75</xm:sqref>
        </x14:conditionalFormatting>
        <x14:conditionalFormatting xmlns:xm="http://schemas.microsoft.com/office/excel/2006/main">
          <x14:cfRule type="expression" priority="820" id="{16AFA522-8D50-4A0A-81DF-207FDB5CB056}">
            <xm:f>Achtergrond!$E$271</xm:f>
            <x14:dxf>
              <fill>
                <patternFill>
                  <bgColor theme="2"/>
                </patternFill>
              </fill>
            </x14:dxf>
          </x14:cfRule>
          <xm:sqref>B76:G78</xm:sqref>
        </x14:conditionalFormatting>
        <x14:conditionalFormatting xmlns:xm="http://schemas.microsoft.com/office/excel/2006/main">
          <x14:cfRule type="expression" priority="821" id="{558D78AC-C729-4AC7-8D79-F71EAC0D97D2}">
            <xm:f>Achtergrond!$E$268</xm:f>
            <x14:dxf>
              <font>
                <color theme="1"/>
              </font>
            </x14:dxf>
          </x14:cfRule>
          <xm:sqref>B33:B34 D34 F34</xm:sqref>
        </x14:conditionalFormatting>
        <x14:conditionalFormatting xmlns:xm="http://schemas.microsoft.com/office/excel/2006/main">
          <x14:cfRule type="expression" priority="823" id="{BB8A17DA-466F-41E3-9C32-79EB88035CBC}">
            <xm:f>Achtergrond!$E$266</xm:f>
            <x14:dxf>
              <font>
                <color theme="1"/>
              </font>
            </x14:dxf>
          </x14:cfRule>
          <xm:sqref>B39:B40 D40 F40</xm:sqref>
        </x14:conditionalFormatting>
        <x14:conditionalFormatting xmlns:xm="http://schemas.microsoft.com/office/excel/2006/main">
          <x14:cfRule type="expression" priority="825" id="{487E26A3-1678-48C7-B38E-CB63FA0FD5CF}">
            <xm:f>Achtergrond!$E$266</xm:f>
            <x14:dxf>
              <fill>
                <patternFill patternType="solid">
                  <bgColor theme="2"/>
                </patternFill>
              </fill>
            </x14:dxf>
          </x14:cfRule>
          <xm:sqref>C40 G40</xm:sqref>
        </x14:conditionalFormatting>
        <x14:conditionalFormatting xmlns:xm="http://schemas.microsoft.com/office/excel/2006/main">
          <x14:cfRule type="expression" priority="826" id="{C9B66BF2-BF97-44A1-BAD4-1BA731E90D78}">
            <xm:f>Achtergrond!$E$262</xm:f>
            <x14:dxf>
              <fill>
                <patternFill>
                  <bgColor theme="2"/>
                </patternFill>
              </fill>
            </x14:dxf>
          </x14:cfRule>
          <xm:sqref>G8:G12 C8:C12</xm:sqref>
        </x14:conditionalFormatting>
        <x14:conditionalFormatting xmlns:xm="http://schemas.microsoft.com/office/excel/2006/main">
          <x14:cfRule type="expression" priority="827" id="{572CB070-71EA-4F9A-82EA-CDD215FA7DA5}">
            <xm:f>Achtergrond!$E$263</xm:f>
            <x14:dxf>
              <fill>
                <patternFill>
                  <bgColor theme="2"/>
                </patternFill>
              </fill>
            </x14:dxf>
          </x14:cfRule>
          <xm:sqref>C16 C18:C22 G16 G18:G22</xm:sqref>
        </x14:conditionalFormatting>
        <x14:conditionalFormatting xmlns:xm="http://schemas.microsoft.com/office/excel/2006/main">
          <x14:cfRule type="expression" priority="829" id="{26B8EB74-7B10-4C36-96AF-1E4A9742EBD8}">
            <xm:f>Achtergrond!$E$264</xm:f>
            <x14:dxf>
              <fill>
                <patternFill>
                  <bgColor theme="2"/>
                </patternFill>
              </fill>
            </x14:dxf>
          </x14:cfRule>
          <xm:sqref>C25 C27:C31 G25 G27:G31</xm:sqref>
        </x14:conditionalFormatting>
        <x14:conditionalFormatting xmlns:xm="http://schemas.microsoft.com/office/excel/2006/main">
          <x14:cfRule type="expression" priority="831" id="{4CD6BFAE-6BAE-41C6-A2F0-47A01CDCFB7B}">
            <xm:f>Achtergrond!$E$265</xm:f>
            <x14:dxf>
              <fill>
                <patternFill>
                  <bgColor theme="2"/>
                </patternFill>
              </fill>
            </x14:dxf>
          </x14:cfRule>
          <xm:sqref>C37 G37</xm:sqref>
        </x14:conditionalFormatting>
        <x14:conditionalFormatting xmlns:xm="http://schemas.microsoft.com/office/excel/2006/main">
          <x14:cfRule type="expression" priority="832" id="{81A33549-C230-44AA-AE9D-BA608611E38E}">
            <xm:f>Achtergrond!$E$269</xm:f>
            <x14:dxf>
              <fill>
                <patternFill>
                  <bgColor theme="2"/>
                </patternFill>
              </fill>
            </x14:dxf>
          </x14:cfRule>
          <xm:sqref>C43:C45 G43:G45</xm:sqref>
        </x14:conditionalFormatting>
        <x14:conditionalFormatting xmlns:xm="http://schemas.microsoft.com/office/excel/2006/main">
          <x14:cfRule type="expression" priority="833" id="{98880E5A-4BF0-4866-B011-FFC51DFFE7BB}">
            <xm:f>Achtergrond!$E$270</xm:f>
            <x14:dxf>
              <fill>
                <patternFill>
                  <bgColor theme="2"/>
                </patternFill>
              </fill>
            </x14:dxf>
          </x14:cfRule>
          <xm:sqref>C48:C49 G48:G49</xm:sqref>
        </x14:conditionalFormatting>
        <x14:conditionalFormatting xmlns:xm="http://schemas.microsoft.com/office/excel/2006/main">
          <x14:cfRule type="expression" priority="834" id="{2B083FD9-5245-4F57-AB25-54C82E8321CC}">
            <xm:f>Achtergrond!$E$268</xm:f>
            <x14:dxf>
              <fill>
                <patternFill>
                  <bgColor theme="2"/>
                </patternFill>
              </fill>
            </x14:dxf>
          </x14:cfRule>
          <xm:sqref>C34 G34</xm:sqref>
        </x14:conditionalFormatting>
        <x14:conditionalFormatting xmlns:xm="http://schemas.microsoft.com/office/excel/2006/main">
          <x14:cfRule type="expression" priority="837" id="{DA965CDE-5FD5-4C42-8D83-6A6BF9123974}">
            <xm:f>Achtergrond!$E$272</xm:f>
            <x14:dxf>
              <fill>
                <patternFill>
                  <bgColor theme="2"/>
                </patternFill>
              </fill>
            </x14:dxf>
          </x14:cfRule>
          <xm:sqref>C52 G52</xm:sqref>
        </x14:conditionalFormatting>
        <x14:conditionalFormatting xmlns:xm="http://schemas.microsoft.com/office/excel/2006/main">
          <x14:cfRule type="expression" priority="838" id="{E81EBDAE-4E33-4AC7-9CAE-22D8741A9C8B}">
            <xm:f>Achtergrond!$E$272</xm:f>
            <x14:dxf>
              <font>
                <color theme="1"/>
              </font>
            </x14:dxf>
          </x14:cfRule>
          <xm:sqref>D52 B51:B52 F52</xm:sqref>
        </x14:conditionalFormatting>
        <x14:conditionalFormatting xmlns:xm="http://schemas.microsoft.com/office/excel/2006/main">
          <x14:cfRule type="expression" priority="70" id="{E5911206-A3F5-4611-81A2-082CBB4AC6CB}">
            <xm:f>Achtergrond!$E$263</xm:f>
            <x14:dxf>
              <fill>
                <patternFill>
                  <bgColor theme="2"/>
                </patternFill>
              </fill>
            </x14:dxf>
          </x14:cfRule>
          <xm:sqref>G16</xm:sqref>
        </x14:conditionalFormatting>
        <x14:conditionalFormatting xmlns:xm="http://schemas.microsoft.com/office/excel/2006/main">
          <x14:cfRule type="expression" priority="69" id="{C760AAFC-8C7C-4596-958B-7C309D1773F6}">
            <xm:f>Achtergrond!$E$263</xm:f>
            <x14:dxf>
              <fill>
                <patternFill>
                  <bgColor theme="2"/>
                </patternFill>
              </fill>
            </x14:dxf>
          </x14:cfRule>
          <xm:sqref>G18:G22</xm:sqref>
        </x14:conditionalFormatting>
        <x14:conditionalFormatting xmlns:xm="http://schemas.microsoft.com/office/excel/2006/main">
          <x14:cfRule type="expression" priority="61" id="{D56F35B0-BF4C-4124-8191-4244F5B05630}">
            <xm:f>Achtergrond!$E$263</xm:f>
            <x14:dxf>
              <fill>
                <patternFill>
                  <bgColor theme="2"/>
                </patternFill>
              </fill>
            </x14:dxf>
          </x14:cfRule>
          <xm:sqref>G52</xm:sqref>
        </x14:conditionalFormatting>
        <x14:conditionalFormatting xmlns:xm="http://schemas.microsoft.com/office/excel/2006/main">
          <x14:cfRule type="cellIs" priority="50" operator="notEqual" id="{0EF943C9-76B4-4A45-BE04-ABFD1FCE334C}">
            <xm:f>Achtergrond!$C$42</xm:f>
            <x14:dxf>
              <font>
                <color rgb="FFFF0000"/>
              </font>
            </x14:dxf>
          </x14:cfRule>
          <x14:cfRule type="cellIs" priority="54" operator="equal" id="{54CB1A63-7B01-491D-B9A5-227FCCD51D48}">
            <xm:f>Achtergrond!$C$42</xm:f>
            <x14:dxf>
              <font>
                <color rgb="FF0070C0"/>
              </font>
              <fill>
                <patternFill patternType="none">
                  <bgColor auto="1"/>
                </patternFill>
              </fill>
            </x14:dxf>
          </x14:cfRule>
          <xm:sqref>C9</xm:sqref>
        </x14:conditionalFormatting>
        <x14:conditionalFormatting xmlns:xm="http://schemas.microsoft.com/office/excel/2006/main">
          <x14:cfRule type="cellIs" priority="45" operator="equal" id="{B71F97A2-65EC-4E2F-BBF7-79A14EBE68A5}">
            <xm:f>Achtergrond!$C$44</xm:f>
            <x14:dxf>
              <font>
                <color rgb="FF0070C0"/>
              </font>
            </x14:dxf>
          </x14:cfRule>
          <x14:cfRule type="cellIs" priority="51" operator="notEqual" id="{B9D5AE74-76A9-49F9-8D98-F2A253BE429C}">
            <xm:f>Achtergrond!$C$44</xm:f>
            <x14:dxf>
              <font>
                <color rgb="FFFF0000"/>
              </font>
            </x14:dxf>
          </x14:cfRule>
          <xm:sqref>C11</xm:sqref>
        </x14:conditionalFormatting>
        <x14:conditionalFormatting xmlns:xm="http://schemas.microsoft.com/office/excel/2006/main">
          <x14:cfRule type="cellIs" priority="47" operator="equal" id="{411E6DAA-8520-4287-9712-A1845BD44952}">
            <xm:f>Achtergrond!$C$45</xm:f>
            <x14:dxf>
              <font>
                <color rgb="FF0070C0"/>
              </font>
              <fill>
                <patternFill patternType="none">
                  <bgColor auto="1"/>
                </patternFill>
              </fill>
            </x14:dxf>
          </x14:cfRule>
          <x14:cfRule type="cellIs" priority="52" operator="notEqual" id="{BEDDCE45-3902-4AAB-9192-6F14FF064417}">
            <xm:f>Achtergrond!$C$45</xm:f>
            <x14:dxf>
              <font>
                <color rgb="FFFF0000"/>
              </font>
            </x14:dxf>
          </x14:cfRule>
          <xm:sqref>C12</xm:sqref>
        </x14:conditionalFormatting>
        <x14:conditionalFormatting xmlns:xm="http://schemas.microsoft.com/office/excel/2006/main">
          <x14:cfRule type="cellIs" priority="49" operator="equal" id="{EF19784C-DA26-4E1A-928C-FB8FEA2B1A4E}">
            <xm:f>Achtergrond!$C$43</xm:f>
            <x14:dxf>
              <font>
                <color rgb="FF0070C0"/>
              </font>
              <fill>
                <patternFill patternType="none">
                  <bgColor auto="1"/>
                </patternFill>
              </fill>
            </x14:dxf>
          </x14:cfRule>
          <x14:cfRule type="cellIs" priority="53" operator="notEqual" id="{937A6806-74F1-473F-95FD-1535BC5DA6DA}">
            <xm:f>Achtergrond!$C$43</xm:f>
            <x14:dxf>
              <font>
                <color rgb="FFFF0000"/>
              </font>
            </x14:dxf>
          </x14:cfRule>
          <xm:sqref>C10</xm:sqref>
        </x14:conditionalFormatting>
        <x14:conditionalFormatting xmlns:xm="http://schemas.microsoft.com/office/excel/2006/main">
          <x14:cfRule type="cellIs" priority="43" operator="notEqual" id="{32B63E78-38BF-4B29-AE9E-EC39F11F92DD}">
            <xm:f>Achtergrond!$C$49</xm:f>
            <x14:dxf>
              <font>
                <color rgb="FFFF0000"/>
              </font>
            </x14:dxf>
          </x14:cfRule>
          <x14:cfRule type="cellIs" priority="44" operator="equal" id="{AD677917-F4BF-48CD-9F18-756FA08E7029}">
            <xm:f>Achtergrond!$C$49</xm:f>
            <x14:dxf>
              <font>
                <color rgb="FF0070C0"/>
              </font>
            </x14:dxf>
          </x14:cfRule>
          <xm:sqref>C16</xm:sqref>
        </x14:conditionalFormatting>
        <x14:conditionalFormatting xmlns:xm="http://schemas.microsoft.com/office/excel/2006/main">
          <x14:cfRule type="cellIs" priority="39" operator="equal" id="{CD2B0C32-8934-4061-ACA5-736BF6AF3436}">
            <xm:f>Achtergrond!$C$52</xm:f>
            <x14:dxf>
              <font>
                <color rgb="FF0070C0"/>
              </font>
            </x14:dxf>
          </x14:cfRule>
          <x14:cfRule type="cellIs" priority="42" operator="notEqual" id="{7C9364F7-0408-46F9-B37A-28EE540C2798}">
            <xm:f>Achtergrond!$C$52</xm:f>
            <x14:dxf>
              <font>
                <color rgb="FFFF0000"/>
              </font>
            </x14:dxf>
          </x14:cfRule>
          <xm:sqref>C19</xm:sqref>
        </x14:conditionalFormatting>
        <x14:conditionalFormatting xmlns:xm="http://schemas.microsoft.com/office/excel/2006/main">
          <x14:cfRule type="cellIs" priority="38" operator="equal" id="{E6AE70E6-A222-4E45-AED7-3229775C233E}">
            <xm:f>Achtergrond!$C$53</xm:f>
            <x14:dxf>
              <font>
                <color rgb="FF0070C0"/>
              </font>
            </x14:dxf>
          </x14:cfRule>
          <x14:cfRule type="cellIs" priority="41" operator="notEqual" id="{DBA76806-7AD5-4BD9-AE40-64070EDEBFED}">
            <xm:f>Achtergrond!$C$53</xm:f>
            <x14:dxf>
              <font>
                <color rgb="FFFF0000"/>
              </font>
            </x14:dxf>
          </x14:cfRule>
          <xm:sqref>C20</xm:sqref>
        </x14:conditionalFormatting>
        <x14:conditionalFormatting xmlns:xm="http://schemas.microsoft.com/office/excel/2006/main">
          <x14:cfRule type="cellIs" priority="37" operator="equal" id="{7669EBB6-E4D9-49D9-9873-8E93AD35FCC7}">
            <xm:f>Achtergrond!$C$55</xm:f>
            <x14:dxf>
              <font>
                <color rgb="FF0070C0"/>
              </font>
            </x14:dxf>
          </x14:cfRule>
          <x14:cfRule type="cellIs" priority="40" operator="notEqual" id="{70A32E70-3D22-4277-8C42-905EE890C18E}">
            <xm:f>Achtergrond!$C$55</xm:f>
            <x14:dxf>
              <font>
                <color rgb="FFFF0000"/>
              </font>
            </x14:dxf>
          </x14:cfRule>
          <xm:sqref>C22</xm:sqref>
        </x14:conditionalFormatting>
        <x14:conditionalFormatting xmlns:xm="http://schemas.microsoft.com/office/excel/2006/main">
          <x14:cfRule type="cellIs" priority="31" operator="notEqual" id="{BF18B3F3-0F27-4103-8850-0D7C12FF2876}">
            <xm:f>Achtergrond!$C$58</xm:f>
            <x14:dxf>
              <font>
                <color rgb="FFFF0000"/>
              </font>
            </x14:dxf>
          </x14:cfRule>
          <x14:cfRule type="cellIs" priority="36" operator="equal" id="{0389BC95-C0C2-4BFE-BC96-5ACB83FDCB89}">
            <xm:f>Achtergrond!$C$58</xm:f>
            <x14:dxf>
              <font>
                <color rgb="FF0070C0"/>
              </font>
            </x14:dxf>
          </x14:cfRule>
          <xm:sqref>C25</xm:sqref>
        </x14:conditionalFormatting>
        <x14:conditionalFormatting xmlns:xm="http://schemas.microsoft.com/office/excel/2006/main">
          <x14:cfRule type="cellIs" priority="30" operator="notEqual" id="{D193FEF5-AC6A-4CC2-993D-B046EC34D4FF}">
            <xm:f>Achtergrond!$C$61</xm:f>
            <x14:dxf>
              <font>
                <color rgb="FFFF0000"/>
              </font>
            </x14:dxf>
          </x14:cfRule>
          <x14:cfRule type="cellIs" priority="35" operator="equal" id="{725EC647-736D-47D6-A7DA-CB4A95E068D7}">
            <xm:f>Achtergrond!$C$61</xm:f>
            <x14:dxf>
              <font>
                <color rgb="FF0070C0"/>
              </font>
            </x14:dxf>
          </x14:cfRule>
          <xm:sqref>C28</xm:sqref>
        </x14:conditionalFormatting>
        <x14:conditionalFormatting xmlns:xm="http://schemas.microsoft.com/office/excel/2006/main">
          <x14:cfRule type="cellIs" priority="29" operator="notEqual" id="{4D24D172-7E90-4559-A24C-3EFD6AAC8E3A}">
            <xm:f>Achtergrond!$C$62</xm:f>
            <x14:dxf>
              <font>
                <color rgb="FFFF0000"/>
              </font>
            </x14:dxf>
          </x14:cfRule>
          <x14:cfRule type="cellIs" priority="34" operator="equal" id="{B688F766-8540-466C-B7AB-98FABA58394D}">
            <xm:f>Achtergrond!$C$62</xm:f>
            <x14:dxf>
              <font>
                <color rgb="FF0070C0"/>
              </font>
            </x14:dxf>
          </x14:cfRule>
          <xm:sqref>C29</xm:sqref>
        </x14:conditionalFormatting>
        <x14:conditionalFormatting xmlns:xm="http://schemas.microsoft.com/office/excel/2006/main">
          <x14:cfRule type="cellIs" priority="28" operator="notEqual" id="{EB11C92C-1C01-49FC-B72C-266B443914D0}">
            <xm:f>Achtergrond!$C$64</xm:f>
            <x14:dxf>
              <font>
                <color rgb="FFFF0000"/>
              </font>
            </x14:dxf>
          </x14:cfRule>
          <x14:cfRule type="cellIs" priority="33" operator="equal" id="{DAB9EF85-5F7B-47AB-8344-600AC76FF591}">
            <xm:f>Achtergrond!$C$64</xm:f>
            <x14:dxf>
              <font>
                <color rgb="FF0070C0"/>
              </font>
            </x14:dxf>
          </x14:cfRule>
          <xm:sqref>C31</xm:sqref>
        </x14:conditionalFormatting>
        <x14:conditionalFormatting xmlns:xm="http://schemas.microsoft.com/office/excel/2006/main">
          <x14:cfRule type="cellIs" priority="26" operator="notEqual" id="{8268062E-153D-48BF-8B13-6F18C9580B05}">
            <xm:f>Achtergrond!$C$78</xm:f>
            <x14:dxf>
              <font>
                <color rgb="FFFF0000"/>
              </font>
            </x14:dxf>
          </x14:cfRule>
          <x14:cfRule type="cellIs" priority="27" operator="equal" id="{D646B737-8829-456C-8109-061B361D3537}">
            <xm:f>Achtergrond!$C$78</xm:f>
            <x14:dxf>
              <font>
                <color rgb="FF0070C0"/>
              </font>
            </x14:dxf>
          </x14:cfRule>
          <xm:sqref>C45</xm:sqref>
        </x14:conditionalFormatting>
        <x14:conditionalFormatting xmlns:xm="http://schemas.microsoft.com/office/excel/2006/main">
          <x14:cfRule type="cellIs" priority="23" operator="equal" id="{D05AAD54-F5AC-46BB-83C9-D73D3DD9A2AE}">
            <xm:f>Achtergrond!$C$81</xm:f>
            <x14:dxf>
              <font>
                <color rgb="FF0070C0"/>
              </font>
            </x14:dxf>
          </x14:cfRule>
          <x14:cfRule type="cellIs" priority="25" operator="notEqual" id="{D056D505-06FD-4E0D-82F0-29328CC5CDE8}">
            <xm:f>Achtergrond!$C$81</xm:f>
            <x14:dxf>
              <font>
                <color rgb="FFFF0000"/>
              </font>
            </x14:dxf>
          </x14:cfRule>
          <xm:sqref>C48</xm:sqref>
        </x14:conditionalFormatting>
        <x14:conditionalFormatting xmlns:xm="http://schemas.microsoft.com/office/excel/2006/main">
          <x14:cfRule type="cellIs" priority="22" operator="equal" id="{137E22E7-1525-4C39-866F-6769D0E6E7A0}">
            <xm:f>Achtergrond!$C$82</xm:f>
            <x14:dxf>
              <font>
                <color rgb="FF0070C0"/>
              </font>
            </x14:dxf>
          </x14:cfRule>
          <x14:cfRule type="cellIs" priority="24" operator="notEqual" id="{382EA25F-F767-405C-8BCF-D8D605CCB3C4}">
            <xm:f>Achtergrond!$C$82</xm:f>
            <x14:dxf>
              <font>
                <color rgb="FFFF0000"/>
              </font>
            </x14:dxf>
          </x14:cfRule>
          <xm:sqref>C49</xm:sqref>
        </x14:conditionalFormatting>
        <x14:conditionalFormatting xmlns:xm="http://schemas.microsoft.com/office/excel/2006/main">
          <x14:cfRule type="cellIs" priority="14" operator="equal" id="{7F4E322D-F6C8-4066-889B-463AA7503CAA}">
            <xm:f>Achtergrond!$C$88</xm:f>
            <x14:dxf>
              <font>
                <color rgb="FF0070C0"/>
              </font>
            </x14:dxf>
          </x14:cfRule>
          <x14:cfRule type="cellIs" priority="19" operator="notEqual" id="{214CDB7F-BDA0-433E-961E-D774F2B87226}">
            <xm:f>Achtergrond!$C$88</xm:f>
            <x14:dxf>
              <font>
                <color rgb="FFFF0000"/>
              </font>
            </x14:dxf>
          </x14:cfRule>
          <xm:sqref>C55</xm:sqref>
        </x14:conditionalFormatting>
        <x14:conditionalFormatting xmlns:xm="http://schemas.microsoft.com/office/excel/2006/main">
          <x14:cfRule type="cellIs" priority="13" operator="equal" id="{047E172E-639A-457B-99E7-1C443F8E0982}">
            <xm:f>Achtergrond!$C$90</xm:f>
            <x14:dxf>
              <font>
                <color rgb="FF0070C0"/>
              </font>
            </x14:dxf>
          </x14:cfRule>
          <x14:cfRule type="cellIs" priority="18" operator="notEqual" id="{6A93026F-ACF9-4752-8B57-0F2155285A7A}">
            <xm:f>Achtergrond!$C$90</xm:f>
            <x14:dxf>
              <font>
                <color rgb="FFFF0000"/>
              </font>
            </x14:dxf>
          </x14:cfRule>
          <xm:sqref>C56</xm:sqref>
        </x14:conditionalFormatting>
        <x14:conditionalFormatting xmlns:xm="http://schemas.microsoft.com/office/excel/2006/main">
          <x14:cfRule type="cellIs" priority="11" operator="equal" id="{F06A6AB5-88E6-4230-8B4D-63120F67FB0F}">
            <xm:f>Achtergrond!$C$92</xm:f>
            <x14:dxf>
              <font>
                <color rgb="FF0070C0"/>
              </font>
            </x14:dxf>
          </x14:cfRule>
          <x14:cfRule type="cellIs" priority="16" operator="notEqual" id="{65D7E8EC-AAB0-4E44-A713-1A3C4A1DE1B3}">
            <xm:f>Achtergrond!$C$92</xm:f>
            <x14:dxf>
              <font>
                <color rgb="FFFF0000"/>
              </font>
            </x14:dxf>
          </x14:cfRule>
          <xm:sqref>C58</xm:sqref>
        </x14:conditionalFormatting>
        <x14:conditionalFormatting xmlns:xm="http://schemas.microsoft.com/office/excel/2006/main">
          <x14:cfRule type="cellIs" priority="10" operator="equal" id="{94FD3739-1C9D-4A0F-BFB0-5D3C0E7274A7}">
            <xm:f>Achtergrond!$C$93</xm:f>
            <x14:dxf>
              <font>
                <color rgb="FF0070C0"/>
              </font>
            </x14:dxf>
          </x14:cfRule>
          <x14:cfRule type="cellIs" priority="15" operator="notEqual" id="{6A352A43-CC97-42CC-90E5-3F1A772B6341}">
            <xm:f>Achtergrond!$C$93</xm:f>
            <x14:dxf>
              <font>
                <color rgb="FFFF0000"/>
              </font>
            </x14:dxf>
          </x14:cfRule>
          <xm:sqref>C59</xm:sqref>
        </x14:conditionalFormatting>
        <x14:conditionalFormatting xmlns:xm="http://schemas.microsoft.com/office/excel/2006/main">
          <x14:cfRule type="cellIs" priority="12" operator="equal" id="{26642D11-467F-4A0B-A98E-B28B0D4DDEEA}">
            <xm:f>Achtergrond!$C$91</xm:f>
            <x14:dxf>
              <font>
                <color rgb="FF0070C0"/>
              </font>
            </x14:dxf>
          </x14:cfRule>
          <x14:cfRule type="cellIs" priority="17" operator="notEqual" id="{148A771D-C507-4157-A0E9-244E5A7BF4DB}">
            <xm:f>Achtergrond!$C$91</xm:f>
            <x14:dxf>
              <font>
                <color rgb="FFFF0000"/>
              </font>
            </x14:dxf>
          </x14:cfRule>
          <xm:sqref>C57</xm:sqref>
        </x14:conditionalFormatting>
        <x14:conditionalFormatting xmlns:xm="http://schemas.microsoft.com/office/excel/2006/main">
          <x14:cfRule type="cellIs" priority="5" operator="equal" id="{07FED52B-2D34-49C1-9EC3-D1C6B93DFDE8}">
            <xm:f>Achtergrond!$C$100</xm:f>
            <x14:dxf>
              <font>
                <color rgb="FF0070C0"/>
              </font>
            </x14:dxf>
          </x14:cfRule>
          <x14:cfRule type="cellIs" priority="9" operator="notEqual" id="{B0E66C38-E39D-4904-BBE2-858E89D3A75D}">
            <xm:f>Achtergrond!$C$100</xm:f>
            <x14:dxf>
              <font>
                <color rgb="FFFF0000"/>
              </font>
            </x14:dxf>
          </x14:cfRule>
          <xm:sqref>C63</xm:sqref>
        </x14:conditionalFormatting>
        <x14:conditionalFormatting xmlns:xm="http://schemas.microsoft.com/office/excel/2006/main">
          <x14:cfRule type="cellIs" priority="4" operator="equal" id="{798641DD-2B6D-45C7-8D60-9C6B31134628}">
            <xm:f>Achtergrond!$C$102</xm:f>
            <x14:dxf>
              <font>
                <color rgb="FF0070C0"/>
              </font>
            </x14:dxf>
          </x14:cfRule>
          <x14:cfRule type="cellIs" priority="8" operator="notEqual" id="{028C5FDE-8D04-476B-9963-94E94A795F51}">
            <xm:f>Achtergrond!$C$102</xm:f>
            <x14:dxf>
              <font>
                <color rgb="FFFF0000"/>
              </font>
            </x14:dxf>
          </x14:cfRule>
          <xm:sqref>C65</xm:sqref>
        </x14:conditionalFormatting>
        <x14:conditionalFormatting xmlns:xm="http://schemas.microsoft.com/office/excel/2006/main">
          <x14:cfRule type="cellIs" priority="3" operator="equal" id="{F7F2B542-E26D-4CB9-83F9-2D0C29CDFDA1}">
            <xm:f>Achtergrond!$C$103</xm:f>
            <x14:dxf>
              <font>
                <color rgb="FF0070C0"/>
              </font>
            </x14:dxf>
          </x14:cfRule>
          <x14:cfRule type="cellIs" priority="7" operator="notEqual" id="{8FFBF291-5391-4994-8A1F-C88DA374347B}">
            <xm:f>Achtergrond!$C$103</xm:f>
            <x14:dxf>
              <font>
                <color rgb="FFFF0000"/>
              </font>
            </x14:dxf>
          </x14:cfRule>
          <xm:sqref>C67</xm:sqref>
        </x14:conditionalFormatting>
        <x14:conditionalFormatting xmlns:xm="http://schemas.microsoft.com/office/excel/2006/main">
          <x14:cfRule type="cellIs" priority="2" operator="equal" id="{BF0E5BC8-FCD8-47DA-BA2E-988E047A7DDB}">
            <xm:f>Achtergrond!$C$104</xm:f>
            <x14:dxf>
              <font>
                <color rgb="FF0070C0"/>
              </font>
            </x14:dxf>
          </x14:cfRule>
          <x14:cfRule type="cellIs" priority="6" operator="notEqual" id="{A62B4034-AF81-4FC8-A496-A894DE796A2C}">
            <xm:f>Achtergrond!$C$104</xm:f>
            <x14:dxf>
              <font>
                <color rgb="FFFF0000"/>
              </font>
            </x14:dxf>
          </x14:cfRule>
          <xm:sqref>C68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Achtergrond!$B$195:$B$200</xm:f>
          </x14:formula1>
          <xm:sqref>B76:B78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XFC59"/>
  <sheetViews>
    <sheetView showRowColHeaders="0" zoomScaleNormal="100" workbookViewId="0">
      <selection sqref="A1:I3"/>
    </sheetView>
  </sheetViews>
  <sheetFormatPr defaultColWidth="0" defaultRowHeight="15" zeroHeight="1" x14ac:dyDescent="0.3"/>
  <cols>
    <col min="1" max="1" width="3.140625" customWidth="1"/>
    <col min="2" max="2" width="13.85546875" customWidth="1"/>
    <col min="3" max="3" width="8.85546875" customWidth="1"/>
    <col min="4" max="4" width="13.5703125" customWidth="1"/>
    <col min="5" max="5" width="4.28515625" customWidth="1"/>
    <col min="6" max="6" width="8.140625" customWidth="1"/>
    <col min="7" max="7" width="6.5703125" customWidth="1"/>
    <col min="8" max="8" width="11.140625" customWidth="1"/>
    <col min="9" max="9" width="18.28515625" customWidth="1"/>
    <col min="10" max="10" width="3.5703125" customWidth="1"/>
    <col min="11" max="14" width="0" hidden="1" customWidth="1"/>
    <col min="15" max="16383" width="8.85546875" hidden="1"/>
    <col min="16384" max="16384" width="0.140625" hidden="1" customWidth="1"/>
  </cols>
  <sheetData>
    <row r="1" spans="1:10" ht="15" customHeight="1" x14ac:dyDescent="0.3">
      <c r="A1" s="146" t="s">
        <v>231</v>
      </c>
      <c r="B1" s="146"/>
      <c r="C1" s="146"/>
      <c r="D1" s="146"/>
      <c r="E1" s="146"/>
      <c r="F1" s="146"/>
      <c r="G1" s="146"/>
      <c r="H1" s="146"/>
      <c r="I1" s="146"/>
      <c r="J1" s="2"/>
    </row>
    <row r="2" spans="1:10" ht="15" customHeight="1" x14ac:dyDescent="0.3">
      <c r="A2" s="146"/>
      <c r="B2" s="146"/>
      <c r="C2" s="146"/>
      <c r="D2" s="146"/>
      <c r="E2" s="146"/>
      <c r="F2" s="146"/>
      <c r="G2" s="146"/>
      <c r="H2" s="146"/>
      <c r="I2" s="146"/>
      <c r="J2" s="2"/>
    </row>
    <row r="3" spans="1:10" ht="4.5" customHeight="1" x14ac:dyDescent="0.3">
      <c r="A3" s="146"/>
      <c r="B3" s="146"/>
      <c r="C3" s="146"/>
      <c r="D3" s="146"/>
      <c r="E3" s="146"/>
      <c r="F3" s="146"/>
      <c r="G3" s="146"/>
      <c r="H3" s="146"/>
      <c r="I3" s="146"/>
      <c r="J3" s="2"/>
    </row>
    <row r="4" spans="1:10" ht="7.5" customHeight="1" x14ac:dyDescent="0.3">
      <c r="A4" s="1"/>
      <c r="B4" s="1"/>
      <c r="C4" s="1"/>
      <c r="D4" s="1"/>
      <c r="E4" s="1"/>
      <c r="F4" s="1"/>
      <c r="G4" s="1"/>
      <c r="H4" s="1"/>
      <c r="I4" s="1"/>
      <c r="J4" s="1"/>
    </row>
    <row r="5" spans="1:10" x14ac:dyDescent="0.3">
      <c r="A5" s="1"/>
      <c r="B5" s="82" t="s">
        <v>120</v>
      </c>
      <c r="C5" s="83" t="str">
        <f>IF('1. Introductie'!D28&lt;&gt;"", '1. Introductie'!D28,"")</f>
        <v/>
      </c>
      <c r="D5" s="83"/>
      <c r="E5" s="83"/>
      <c r="F5" s="83"/>
      <c r="G5" s="83"/>
      <c r="H5" s="83"/>
      <c r="I5" s="84"/>
      <c r="J5" s="1"/>
    </row>
    <row r="6" spans="1:10" x14ac:dyDescent="0.3">
      <c r="A6" s="1"/>
      <c r="B6" s="85" t="s">
        <v>121</v>
      </c>
      <c r="C6" s="59" t="str">
        <f>IF('1. Introductie'!D29&lt;&gt;"", '1. Introductie'!D29,"")</f>
        <v/>
      </c>
      <c r="D6" s="59"/>
      <c r="E6" s="59"/>
      <c r="F6" s="59"/>
      <c r="G6" s="59"/>
      <c r="H6" s="59"/>
      <c r="I6" s="86"/>
      <c r="J6" s="1"/>
    </row>
    <row r="7" spans="1:10" x14ac:dyDescent="0.3">
      <c r="A7" s="1"/>
      <c r="B7" s="87" t="s">
        <v>122</v>
      </c>
      <c r="C7" s="102" t="str">
        <f>IF('1. Introductie'!D30&lt;&gt;"", '1. Introductie'!D30,"")</f>
        <v/>
      </c>
      <c r="D7" s="88"/>
      <c r="E7" s="88"/>
      <c r="F7" s="88"/>
      <c r="G7" s="88"/>
      <c r="H7" s="88"/>
      <c r="I7" s="89"/>
      <c r="J7" s="1"/>
    </row>
    <row r="8" spans="1:10" ht="8.1" customHeight="1" x14ac:dyDescent="0.3">
      <c r="A8" s="1"/>
      <c r="B8" s="1"/>
      <c r="C8" s="1"/>
      <c r="D8" s="1"/>
      <c r="E8" s="1"/>
      <c r="F8" s="1"/>
      <c r="G8" s="1"/>
      <c r="H8" s="1"/>
      <c r="I8" s="1"/>
      <c r="J8" s="1"/>
    </row>
    <row r="9" spans="1:10" ht="23.1" customHeight="1" x14ac:dyDescent="0.3">
      <c r="A9" s="1"/>
      <c r="B9" s="161" t="str">
        <f>IF(Achtergrond!E245,"Inrichting werkt conform good practice.", "Inrichting werkt niet conform good practice. De rekenresultaten van de tool zijn mogelijk niet betrouwbaar. Verificatie van de resultaten is niet mogelijk.")</f>
        <v>Inrichting werkt niet conform good practice. De rekenresultaten van de tool zijn mogelijk niet betrouwbaar. Verificatie van de resultaten is niet mogelijk.</v>
      </c>
      <c r="C9" s="161"/>
      <c r="D9" s="161"/>
      <c r="E9" s="161"/>
      <c r="F9" s="161"/>
      <c r="G9" s="161"/>
      <c r="H9" s="161"/>
      <c r="I9" s="161"/>
      <c r="J9" s="1"/>
    </row>
    <row r="10" spans="1:10" ht="6.95" customHeight="1" x14ac:dyDescent="0.3">
      <c r="A10" s="1"/>
      <c r="B10" s="75"/>
      <c r="C10" s="75"/>
      <c r="D10" s="75"/>
      <c r="E10" s="75"/>
      <c r="F10" s="75"/>
      <c r="G10" s="75"/>
      <c r="H10" s="75"/>
      <c r="I10" s="75"/>
      <c r="J10" s="1"/>
    </row>
    <row r="11" spans="1:10" ht="14.1" customHeight="1" x14ac:dyDescent="0.3">
      <c r="A11" s="1"/>
      <c r="B11" s="162" t="str">
        <f>IF(Achtergrond!E246,"De resultaten voor bokashi en kleine kringloop zijn conservatief ingeschat en onzeker.", "")</f>
        <v/>
      </c>
      <c r="C11" s="162"/>
      <c r="D11" s="162"/>
      <c r="E11" s="162"/>
      <c r="F11" s="162"/>
      <c r="G11" s="162"/>
      <c r="H11" s="162"/>
      <c r="I11" s="162"/>
      <c r="J11" s="1"/>
    </row>
    <row r="12" spans="1:10" ht="6" customHeight="1" x14ac:dyDescent="0.3">
      <c r="A12" s="1"/>
      <c r="B12" s="1"/>
      <c r="C12" s="1"/>
      <c r="D12" s="1"/>
      <c r="E12" s="1"/>
      <c r="F12" s="1"/>
      <c r="G12" s="1"/>
      <c r="H12" s="1"/>
      <c r="I12" s="1"/>
      <c r="J12" s="1"/>
    </row>
    <row r="13" spans="1:10" x14ac:dyDescent="0.3">
      <c r="A13" s="1"/>
      <c r="B13" s="3" t="s">
        <v>178</v>
      </c>
      <c r="C13" s="1"/>
      <c r="D13" s="1"/>
      <c r="E13" s="164">
        <f>'2. Transport en voorbewerking'!C7</f>
        <v>0</v>
      </c>
      <c r="F13" s="164"/>
      <c r="G13" s="1" t="s">
        <v>211</v>
      </c>
      <c r="H13" s="1"/>
      <c r="I13" s="1"/>
      <c r="J13" s="1"/>
    </row>
    <row r="14" spans="1:10" ht="6.6" customHeight="1" x14ac:dyDescent="0.3">
      <c r="A14" s="1"/>
      <c r="B14" s="1"/>
      <c r="C14" s="1"/>
      <c r="D14" s="1"/>
      <c r="E14" s="1"/>
      <c r="F14" s="1"/>
      <c r="G14" s="1"/>
      <c r="H14" s="1"/>
      <c r="I14" s="1"/>
      <c r="J14" s="1"/>
    </row>
    <row r="15" spans="1:10" x14ac:dyDescent="0.3">
      <c r="A15" s="1"/>
      <c r="B15" s="94" t="s">
        <v>215</v>
      </c>
      <c r="C15" s="2"/>
      <c r="D15" s="2"/>
      <c r="E15" s="2"/>
      <c r="F15" s="163" t="s">
        <v>213</v>
      </c>
      <c r="G15" s="163"/>
      <c r="H15" s="163" t="s">
        <v>214</v>
      </c>
      <c r="I15" s="163"/>
      <c r="J15" s="1"/>
    </row>
    <row r="16" spans="1:10" ht="13.5" customHeight="1" x14ac:dyDescent="0.35">
      <c r="A16" s="1"/>
      <c r="B16" s="55" t="s">
        <v>16</v>
      </c>
      <c r="C16" s="54"/>
      <c r="D16" s="54"/>
      <c r="E16" s="58"/>
      <c r="F16" s="134">
        <f>'2. Transport en voorbewerking'!D38</f>
        <v>0</v>
      </c>
      <c r="G16" s="58" t="s">
        <v>118</v>
      </c>
      <c r="H16" s="132">
        <f>SUM(Kengetallen!D107:D108)/1000</f>
        <v>0</v>
      </c>
      <c r="I16" s="58" t="s">
        <v>238</v>
      </c>
      <c r="J16" s="1"/>
    </row>
    <row r="17" spans="1:10" ht="14.1" customHeight="1" x14ac:dyDescent="0.35">
      <c r="A17" s="1"/>
      <c r="B17" s="55" t="s">
        <v>0</v>
      </c>
      <c r="C17" s="54"/>
      <c r="D17" s="54"/>
      <c r="E17" s="58"/>
      <c r="F17" s="134">
        <f>'2. Transport en voorbewerking'!D33</f>
        <v>0</v>
      </c>
      <c r="G17" s="58" t="s">
        <v>118</v>
      </c>
      <c r="H17" s="132">
        <f>Kengetallen!D101/1000</f>
        <v>0</v>
      </c>
      <c r="I17" s="58" t="s">
        <v>238</v>
      </c>
      <c r="J17" s="1"/>
    </row>
    <row r="18" spans="1:10" ht="13.5" customHeight="1" x14ac:dyDescent="0.35">
      <c r="A18" s="1"/>
      <c r="B18" s="55" t="s">
        <v>65</v>
      </c>
      <c r="C18" s="54"/>
      <c r="D18" s="54"/>
      <c r="E18" s="58"/>
      <c r="F18" s="134">
        <f>'2. Transport en voorbewerking'!D34</f>
        <v>0</v>
      </c>
      <c r="G18" s="58" t="s">
        <v>118</v>
      </c>
      <c r="H18" s="132">
        <f>Kengetallen!D102/1000</f>
        <v>0</v>
      </c>
      <c r="I18" s="58" t="s">
        <v>238</v>
      </c>
      <c r="J18" s="1"/>
    </row>
    <row r="19" spans="1:10" ht="13.5" customHeight="1" x14ac:dyDescent="0.35">
      <c r="A19" s="1"/>
      <c r="B19" s="55" t="s">
        <v>212</v>
      </c>
      <c r="C19" s="54"/>
      <c r="D19" s="54"/>
      <c r="E19" s="58"/>
      <c r="F19" s="134">
        <f>'2. Transport en voorbewerking'!D35</f>
        <v>0</v>
      </c>
      <c r="G19" s="58" t="s">
        <v>118</v>
      </c>
      <c r="H19" s="132">
        <f>Kengetallen!D103/1000</f>
        <v>0</v>
      </c>
      <c r="I19" s="58" t="s">
        <v>238</v>
      </c>
      <c r="J19" s="1"/>
    </row>
    <row r="20" spans="1:10" ht="12.95" customHeight="1" x14ac:dyDescent="0.35">
      <c r="A20" s="1"/>
      <c r="B20" s="55" t="s">
        <v>14</v>
      </c>
      <c r="C20" s="54"/>
      <c r="D20" s="54"/>
      <c r="E20" s="58"/>
      <c r="F20" s="134">
        <f>'2. Transport en voorbewerking'!D36</f>
        <v>0</v>
      </c>
      <c r="G20" s="58" t="s">
        <v>118</v>
      </c>
      <c r="H20" s="132">
        <f>Kengetallen!D105/1000</f>
        <v>0</v>
      </c>
      <c r="I20" s="58" t="s">
        <v>238</v>
      </c>
      <c r="J20" s="1"/>
    </row>
    <row r="21" spans="1:10" ht="12.95" customHeight="1" x14ac:dyDescent="0.35">
      <c r="A21" s="1"/>
      <c r="B21" s="55" t="s">
        <v>131</v>
      </c>
      <c r="C21" s="54"/>
      <c r="D21" s="54"/>
      <c r="E21" s="58"/>
      <c r="F21" s="134">
        <f>'2. Transport en voorbewerking'!D37</f>
        <v>0</v>
      </c>
      <c r="G21" s="58" t="s">
        <v>118</v>
      </c>
      <c r="H21" s="132">
        <f>Kengetallen!D106/1000</f>
        <v>0</v>
      </c>
      <c r="I21" s="58" t="s">
        <v>238</v>
      </c>
      <c r="J21" s="1"/>
    </row>
    <row r="22" spans="1:10" ht="13.5" customHeight="1" x14ac:dyDescent="0.35">
      <c r="A22" s="1"/>
      <c r="B22" s="55" t="s">
        <v>205</v>
      </c>
      <c r="C22" s="54"/>
      <c r="D22" s="54"/>
      <c r="E22" s="58"/>
      <c r="F22" s="134">
        <f>SUM('2. Transport en voorbewerking'!D40:D44)</f>
        <v>0</v>
      </c>
      <c r="G22" s="58" t="s">
        <v>118</v>
      </c>
      <c r="H22" s="132">
        <f>SUM(Kengetallen!D104,Kengetallen!D109:D111)/1000</f>
        <v>0</v>
      </c>
      <c r="I22" s="58" t="s">
        <v>238</v>
      </c>
      <c r="J22" s="1"/>
    </row>
    <row r="23" spans="1:10" ht="9" customHeight="1" x14ac:dyDescent="0.3">
      <c r="A23" s="1"/>
      <c r="B23" s="55"/>
      <c r="C23" s="54"/>
      <c r="D23" s="54"/>
      <c r="E23" s="58"/>
      <c r="F23" s="59"/>
      <c r="G23" s="58"/>
      <c r="H23" s="132"/>
      <c r="I23" s="58"/>
      <c r="J23" s="1"/>
    </row>
    <row r="24" spans="1:10" ht="13.5" customHeight="1" x14ac:dyDescent="0.35">
      <c r="A24" s="1"/>
      <c r="B24" s="55" t="s">
        <v>112</v>
      </c>
      <c r="C24" s="54"/>
      <c r="D24" s="54"/>
      <c r="E24" s="58"/>
      <c r="F24" s="59"/>
      <c r="G24" s="58"/>
      <c r="H24" s="132">
        <f>Kengetallen!D98/1000</f>
        <v>0</v>
      </c>
      <c r="I24" s="58" t="s">
        <v>238</v>
      </c>
      <c r="J24" s="1"/>
    </row>
    <row r="25" spans="1:10" ht="13.5" customHeight="1" x14ac:dyDescent="0.35">
      <c r="A25" s="1"/>
      <c r="B25" s="55" t="s">
        <v>276</v>
      </c>
      <c r="C25" s="54"/>
      <c r="D25" s="54"/>
      <c r="E25" s="58"/>
      <c r="F25" s="59"/>
      <c r="G25" s="58"/>
      <c r="H25" s="132">
        <f>Kengetallen!D99/1000</f>
        <v>0</v>
      </c>
      <c r="I25" s="58" t="s">
        <v>238</v>
      </c>
      <c r="J25" s="1"/>
    </row>
    <row r="26" spans="1:10" ht="12.95" customHeight="1" x14ac:dyDescent="0.35">
      <c r="A26" s="1"/>
      <c r="B26" s="55" t="s">
        <v>113</v>
      </c>
      <c r="C26" s="54"/>
      <c r="D26" s="54"/>
      <c r="E26" s="58"/>
      <c r="F26" s="59"/>
      <c r="G26" s="58"/>
      <c r="H26" s="132">
        <f>Kengetallen!D100/1000</f>
        <v>0</v>
      </c>
      <c r="I26" s="58" t="s">
        <v>238</v>
      </c>
      <c r="J26" s="1"/>
    </row>
    <row r="27" spans="1:10" ht="9" customHeight="1" x14ac:dyDescent="0.3">
      <c r="A27" s="1"/>
      <c r="B27" s="55"/>
      <c r="C27" s="54"/>
      <c r="D27" s="54"/>
      <c r="E27" s="58"/>
      <c r="F27" s="59"/>
      <c r="G27" s="58"/>
      <c r="H27" s="132"/>
      <c r="I27" s="58"/>
      <c r="J27" s="1"/>
    </row>
    <row r="28" spans="1:10" ht="13.5" customHeight="1" x14ac:dyDescent="0.35">
      <c r="A28" s="1"/>
      <c r="B28" s="60" t="s">
        <v>93</v>
      </c>
      <c r="C28" s="54"/>
      <c r="D28" s="54"/>
      <c r="E28" s="58"/>
      <c r="F28" s="59"/>
      <c r="G28" s="58"/>
      <c r="H28" s="135">
        <f>SUM(H16:H26)</f>
        <v>0</v>
      </c>
      <c r="I28" s="58" t="s">
        <v>238</v>
      </c>
      <c r="J28" s="1"/>
    </row>
    <row r="29" spans="1:10" x14ac:dyDescent="0.3">
      <c r="A29" s="1"/>
      <c r="B29" s="78"/>
      <c r="C29" s="1"/>
      <c r="D29" s="1"/>
      <c r="E29" s="1"/>
      <c r="F29" s="79"/>
      <c r="G29" s="1"/>
      <c r="H29" s="80"/>
      <c r="I29" s="3"/>
      <c r="J29" s="1"/>
    </row>
    <row r="30" spans="1:10" x14ac:dyDescent="0.3">
      <c r="A30" s="1"/>
      <c r="B30" s="78"/>
      <c r="C30" s="1"/>
      <c r="D30" s="1"/>
      <c r="E30" s="1"/>
      <c r="F30" s="79"/>
      <c r="G30" s="1"/>
      <c r="H30" s="80"/>
      <c r="I30" s="3"/>
      <c r="J30" s="1"/>
    </row>
    <row r="31" spans="1:10" x14ac:dyDescent="0.3">
      <c r="A31" s="1"/>
      <c r="B31" s="78"/>
      <c r="C31" s="1"/>
      <c r="D31" s="1"/>
      <c r="E31" s="1"/>
      <c r="F31" s="79"/>
      <c r="G31" s="1"/>
      <c r="H31" s="80"/>
      <c r="I31" s="3"/>
      <c r="J31" s="1"/>
    </row>
    <row r="32" spans="1:10" x14ac:dyDescent="0.3">
      <c r="A32" s="1"/>
      <c r="B32" s="1"/>
      <c r="C32" s="1"/>
      <c r="D32" s="1"/>
      <c r="E32" s="1"/>
      <c r="F32" s="1"/>
      <c r="G32" s="1"/>
      <c r="H32" s="1"/>
      <c r="I32" s="1"/>
      <c r="J32" s="1"/>
    </row>
    <row r="33" spans="1:14" x14ac:dyDescent="0.3">
      <c r="A33" s="1"/>
      <c r="B33" s="1"/>
      <c r="C33" s="1"/>
      <c r="D33" s="1"/>
      <c r="E33" s="1"/>
      <c r="F33" s="1"/>
      <c r="G33" s="1"/>
      <c r="H33" s="1"/>
      <c r="I33" s="1"/>
      <c r="J33" s="1"/>
    </row>
    <row r="34" spans="1:14" x14ac:dyDescent="0.3">
      <c r="A34" s="1"/>
      <c r="B34" s="3"/>
      <c r="C34" s="3"/>
      <c r="D34" s="3"/>
      <c r="E34" s="3"/>
      <c r="F34" s="56"/>
      <c r="G34" s="56"/>
      <c r="H34" s="3"/>
      <c r="I34" s="3"/>
      <c r="J34" s="1"/>
    </row>
    <row r="35" spans="1:14" x14ac:dyDescent="0.3">
      <c r="A35" s="1"/>
      <c r="B35" s="4"/>
      <c r="C35" s="1"/>
      <c r="D35" s="1"/>
      <c r="E35" s="1"/>
      <c r="F35" s="57"/>
      <c r="G35" s="57"/>
      <c r="H35" s="1"/>
      <c r="I35" s="1"/>
      <c r="J35" s="1"/>
    </row>
    <row r="36" spans="1:14" x14ac:dyDescent="0.3">
      <c r="A36" s="1"/>
      <c r="B36" s="1"/>
      <c r="C36" s="1"/>
      <c r="D36" s="1"/>
      <c r="E36" s="1"/>
      <c r="F36" s="1"/>
      <c r="G36" s="1"/>
      <c r="H36" s="1"/>
      <c r="I36" s="1"/>
      <c r="J36" s="1"/>
    </row>
    <row r="37" spans="1:14" x14ac:dyDescent="0.3">
      <c r="A37" s="1"/>
      <c r="B37" s="1"/>
      <c r="C37" s="1"/>
      <c r="D37" s="1"/>
      <c r="E37" s="1"/>
      <c r="F37" s="1"/>
      <c r="G37" s="1"/>
      <c r="H37" s="1"/>
      <c r="I37" s="1"/>
      <c r="J37" s="1"/>
    </row>
    <row r="38" spans="1:14" x14ac:dyDescent="0.3">
      <c r="A38" s="1"/>
      <c r="B38" s="1"/>
      <c r="C38" s="1"/>
      <c r="D38" s="1"/>
      <c r="E38" s="1"/>
      <c r="F38" s="1"/>
      <c r="G38" s="1"/>
      <c r="H38" s="1"/>
      <c r="I38" s="1"/>
      <c r="J38" s="1"/>
    </row>
    <row r="39" spans="1:14" x14ac:dyDescent="0.3">
      <c r="A39" s="1"/>
      <c r="B39" s="1"/>
      <c r="C39" s="1"/>
      <c r="D39" s="1"/>
      <c r="E39" s="1"/>
      <c r="F39" s="1"/>
      <c r="G39" s="1"/>
      <c r="H39" s="1"/>
      <c r="I39" s="1"/>
      <c r="J39" s="1"/>
    </row>
    <row r="40" spans="1:14" x14ac:dyDescent="0.3">
      <c r="A40" s="1"/>
      <c r="B40" s="1"/>
      <c r="C40" s="1"/>
      <c r="D40" s="1"/>
      <c r="E40" s="1"/>
      <c r="F40" s="1"/>
      <c r="G40" s="1"/>
      <c r="H40" s="1"/>
      <c r="I40" s="1"/>
      <c r="J40" s="1"/>
    </row>
    <row r="41" spans="1:14" x14ac:dyDescent="0.3">
      <c r="A41" s="1"/>
      <c r="B41" s="1"/>
      <c r="C41" s="1"/>
      <c r="D41" s="1"/>
      <c r="E41" s="1"/>
      <c r="F41" s="1"/>
      <c r="G41" s="1"/>
      <c r="H41" s="1"/>
      <c r="I41" s="1"/>
      <c r="J41" s="1"/>
    </row>
    <row r="42" spans="1:14" x14ac:dyDescent="0.3">
      <c r="A42" s="1"/>
      <c r="B42" s="1"/>
      <c r="C42" s="1"/>
      <c r="D42" s="1"/>
      <c r="E42" s="1"/>
      <c r="F42" s="1"/>
      <c r="G42" s="1"/>
      <c r="H42" s="1"/>
      <c r="I42" s="1"/>
      <c r="J42" s="1"/>
    </row>
    <row r="43" spans="1:14" x14ac:dyDescent="0.3">
      <c r="A43" s="1"/>
      <c r="B43" s="1"/>
      <c r="C43" s="1"/>
      <c r="D43" s="1"/>
      <c r="E43" s="1"/>
      <c r="F43" s="1"/>
      <c r="G43" s="1"/>
      <c r="H43" s="1"/>
      <c r="I43" s="1"/>
      <c r="J43" s="1"/>
      <c r="N43" s="41"/>
    </row>
    <row r="44" spans="1:14" x14ac:dyDescent="0.3">
      <c r="A44" s="1"/>
      <c r="B44" s="1"/>
      <c r="C44" s="1"/>
      <c r="D44" s="1"/>
      <c r="E44" s="1"/>
      <c r="F44" s="1"/>
      <c r="G44" s="1"/>
      <c r="H44" s="1"/>
      <c r="I44" s="1"/>
      <c r="J44" s="1"/>
    </row>
    <row r="45" spans="1:14" ht="10.5" customHeight="1" x14ac:dyDescent="0.3">
      <c r="A45" s="1"/>
      <c r="B45" s="1"/>
      <c r="C45" s="1"/>
      <c r="D45" s="1"/>
      <c r="E45" s="1"/>
      <c r="F45" s="1"/>
      <c r="G45" s="1"/>
      <c r="H45" s="1"/>
      <c r="I45" s="1"/>
      <c r="J45" s="1"/>
    </row>
    <row r="46" spans="1:14" ht="14.45" customHeight="1" x14ac:dyDescent="0.3">
      <c r="A46" s="1"/>
      <c r="B46" s="160" t="s">
        <v>240</v>
      </c>
      <c r="C46" s="160"/>
      <c r="D46" s="160"/>
      <c r="E46" s="160"/>
      <c r="F46" s="160"/>
      <c r="G46" s="160"/>
      <c r="H46" s="160"/>
      <c r="I46" s="160"/>
      <c r="J46" s="1"/>
    </row>
    <row r="47" spans="1:14" ht="14.45" customHeight="1" x14ac:dyDescent="0.3">
      <c r="A47" s="1"/>
      <c r="B47" s="160"/>
      <c r="C47" s="160"/>
      <c r="D47" s="160"/>
      <c r="E47" s="160"/>
      <c r="F47" s="160"/>
      <c r="G47" s="160"/>
      <c r="H47" s="160"/>
      <c r="I47" s="160"/>
      <c r="J47" s="1"/>
    </row>
    <row r="48" spans="1:14" ht="15.75" customHeight="1" x14ac:dyDescent="0.3">
      <c r="A48" s="1"/>
      <c r="B48" s="160"/>
      <c r="C48" s="160"/>
      <c r="D48" s="160"/>
      <c r="E48" s="160"/>
      <c r="F48" s="160"/>
      <c r="G48" s="160"/>
      <c r="H48" s="160"/>
      <c r="I48" s="160"/>
      <c r="J48" s="1"/>
    </row>
    <row r="49" spans="1:10" ht="4.5" customHeight="1" x14ac:dyDescent="0.3">
      <c r="A49" s="1"/>
      <c r="B49" s="81"/>
      <c r="C49" s="81"/>
      <c r="D49" s="81"/>
      <c r="E49" s="81"/>
      <c r="F49" s="81"/>
      <c r="G49" s="81"/>
      <c r="H49" s="81"/>
      <c r="I49" s="81"/>
      <c r="J49" s="1"/>
    </row>
    <row r="50" spans="1:10" ht="13.5" customHeight="1" x14ac:dyDescent="0.3">
      <c r="A50" s="1"/>
      <c r="B50" s="160" t="s">
        <v>239</v>
      </c>
      <c r="C50" s="160"/>
      <c r="D50" s="160"/>
      <c r="E50" s="160"/>
      <c r="F50" s="160"/>
      <c r="G50" s="160"/>
      <c r="H50" s="160"/>
      <c r="I50" s="160"/>
      <c r="J50" s="1"/>
    </row>
    <row r="51" spans="1:10" x14ac:dyDescent="0.3">
      <c r="A51" s="1"/>
      <c r="B51" s="160"/>
      <c r="C51" s="160"/>
      <c r="D51" s="160"/>
      <c r="E51" s="160"/>
      <c r="F51" s="160"/>
      <c r="G51" s="160"/>
      <c r="H51" s="160"/>
      <c r="I51" s="160"/>
      <c r="J51" s="1"/>
    </row>
    <row r="52" spans="1:10" x14ac:dyDescent="0.3">
      <c r="A52" s="1"/>
      <c r="B52" s="160"/>
      <c r="C52" s="160"/>
      <c r="D52" s="160"/>
      <c r="E52" s="160"/>
      <c r="F52" s="160"/>
      <c r="G52" s="160"/>
      <c r="H52" s="160"/>
      <c r="I52" s="160"/>
      <c r="J52" s="1"/>
    </row>
    <row r="53" spans="1:10" x14ac:dyDescent="0.3">
      <c r="A53" s="1"/>
      <c r="B53" s="160"/>
      <c r="C53" s="160"/>
      <c r="D53" s="160"/>
      <c r="E53" s="160"/>
      <c r="F53" s="160"/>
      <c r="G53" s="160"/>
      <c r="H53" s="160"/>
      <c r="I53" s="160"/>
      <c r="J53" s="1"/>
    </row>
    <row r="54" spans="1:10" ht="3.95" customHeight="1" x14ac:dyDescent="0.3">
      <c r="A54" s="1"/>
      <c r="B54" s="1"/>
      <c r="C54" s="1"/>
      <c r="D54" s="1"/>
      <c r="E54" s="1"/>
      <c r="F54" s="1"/>
      <c r="G54" s="1"/>
      <c r="H54" s="1"/>
      <c r="I54" s="1"/>
      <c r="J54" s="1"/>
    </row>
    <row r="55" spans="1:10" ht="17.100000000000001" customHeight="1" x14ac:dyDescent="0.3">
      <c r="A55" s="1"/>
      <c r="B55" s="153"/>
      <c r="C55" s="153"/>
      <c r="D55" s="153"/>
      <c r="E55" s="153"/>
      <c r="F55" s="153"/>
      <c r="G55" s="153"/>
      <c r="H55" s="153"/>
      <c r="I55" s="153"/>
      <c r="J55" s="1"/>
    </row>
    <row r="56" spans="1:10" ht="9.9499999999999993" customHeight="1" x14ac:dyDescent="0.3">
      <c r="A56" s="1"/>
      <c r="B56" s="1"/>
      <c r="C56" s="1"/>
      <c r="D56" s="1"/>
      <c r="E56" s="1"/>
      <c r="F56" s="1"/>
      <c r="G56" s="1"/>
      <c r="H56" s="1"/>
      <c r="I56" s="1"/>
      <c r="J56" s="1"/>
    </row>
    <row r="57" spans="1:10" ht="5.0999999999999996" customHeight="1" x14ac:dyDescent="0.3">
      <c r="A57" s="2"/>
      <c r="B57" s="2"/>
      <c r="C57" s="2"/>
      <c r="D57" s="2"/>
      <c r="E57" s="2"/>
      <c r="F57" s="2"/>
      <c r="G57" s="2"/>
      <c r="H57" s="2"/>
      <c r="I57" s="2"/>
      <c r="J57" s="2"/>
    </row>
    <row r="58" spans="1:10" x14ac:dyDescent="0.3">
      <c r="A58" s="2"/>
      <c r="B58" s="2"/>
      <c r="C58" s="2"/>
      <c r="D58" s="2"/>
      <c r="E58" s="2"/>
      <c r="F58" s="2"/>
      <c r="G58" s="2"/>
      <c r="H58" s="2"/>
      <c r="I58" s="2"/>
      <c r="J58" s="2"/>
    </row>
    <row r="59" spans="1:10" x14ac:dyDescent="0.3">
      <c r="A59" s="2"/>
      <c r="B59" s="2"/>
      <c r="C59" s="2"/>
      <c r="D59" s="2"/>
      <c r="E59" s="2"/>
      <c r="F59" s="2"/>
      <c r="G59" s="2"/>
      <c r="H59" s="2"/>
      <c r="I59" s="2"/>
      <c r="J59" s="2"/>
    </row>
  </sheetData>
  <sheetProtection algorithmName="SHA-512" hashValue="dPmz9ZawNYn6Xf0QlMGfNLLba980yCA7NSbipt7b821wwjIeZZma7ygB3Nkii0ZGdwuQz8et1IXRDVtkmtsdug==" saltValue="EX691nIcDraggpWkJhFpcw==" spinCount="100000" sheet="1" objects="1" scenarios="1" selectLockedCells="1"/>
  <mergeCells count="9">
    <mergeCell ref="A1:I3"/>
    <mergeCell ref="B55:I55"/>
    <mergeCell ref="B50:I53"/>
    <mergeCell ref="B9:I9"/>
    <mergeCell ref="B11:I11"/>
    <mergeCell ref="B46:I48"/>
    <mergeCell ref="H15:I15"/>
    <mergeCell ref="F15:G15"/>
    <mergeCell ref="E13:F13"/>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2" id="{AA5FE3B4-27A2-487C-A771-B480650EA7D1}">
            <xm:f>Achtergrond!$E$245</xm:f>
            <x14:dxf>
              <fill>
                <patternFill>
                  <bgColor theme="8" tint="0.79998168889431442"/>
                </patternFill>
              </fill>
              <border>
                <left/>
                <right/>
                <top/>
                <bottom/>
              </border>
            </x14:dxf>
          </x14:cfRule>
          <xm:sqref>B9:I9</xm:sqref>
        </x14:conditionalFormatting>
        <x14:conditionalFormatting xmlns:xm="http://schemas.microsoft.com/office/excel/2006/main">
          <x14:cfRule type="expression" priority="653" id="{D1D76E78-1446-4E3C-BD9E-AA53C2E4F4EE}">
            <xm:f>Achtergrond!$E$246</xm:f>
            <x14:dxf>
              <fill>
                <patternFill>
                  <bgColor theme="2" tint="-0.24994659260841701"/>
                </patternFill>
              </fill>
              <border>
                <left/>
                <right/>
                <top/>
                <bottom/>
                <vertical/>
                <horizontal/>
              </border>
            </x14:dxf>
          </x14:cfRule>
          <xm:sqref>B11:I11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8"/>
  <dimension ref="A1:G59"/>
  <sheetViews>
    <sheetView showRowColHeaders="0" zoomScaleNormal="100" workbookViewId="0">
      <selection sqref="A1:G3"/>
    </sheetView>
  </sheetViews>
  <sheetFormatPr defaultColWidth="0" defaultRowHeight="15" zeroHeight="1" x14ac:dyDescent="0.3"/>
  <cols>
    <col min="1" max="1" width="3.140625" customWidth="1"/>
    <col min="2" max="2" width="28.85546875" customWidth="1"/>
    <col min="3" max="4" width="12.5703125" customWidth="1"/>
    <col min="5" max="6" width="15.85546875" customWidth="1"/>
    <col min="7" max="7" width="4.140625" customWidth="1"/>
    <col min="8" max="16384" width="8.85546875" hidden="1"/>
  </cols>
  <sheetData>
    <row r="1" spans="1:7" x14ac:dyDescent="0.3">
      <c r="A1" s="146" t="s">
        <v>230</v>
      </c>
      <c r="B1" s="146"/>
      <c r="C1" s="146"/>
      <c r="D1" s="146"/>
      <c r="E1" s="146"/>
      <c r="F1" s="146"/>
      <c r="G1" s="146"/>
    </row>
    <row r="2" spans="1:7" x14ac:dyDescent="0.3">
      <c r="A2" s="146"/>
      <c r="B2" s="146"/>
      <c r="C2" s="146"/>
      <c r="D2" s="146"/>
      <c r="E2" s="146"/>
      <c r="F2" s="146"/>
      <c r="G2" s="146"/>
    </row>
    <row r="3" spans="1:7" ht="3.6" customHeight="1" x14ac:dyDescent="0.3">
      <c r="A3" s="146"/>
      <c r="B3" s="146"/>
      <c r="C3" s="146"/>
      <c r="D3" s="146"/>
      <c r="E3" s="146"/>
      <c r="F3" s="146"/>
      <c r="G3" s="146"/>
    </row>
    <row r="4" spans="1:7" ht="8.1" customHeight="1" x14ac:dyDescent="0.3">
      <c r="A4" s="36"/>
      <c r="B4" s="36"/>
      <c r="C4" s="36"/>
      <c r="D4" s="36"/>
      <c r="E4" s="36"/>
      <c r="F4" s="36"/>
      <c r="G4" s="36"/>
    </row>
    <row r="5" spans="1:7" ht="12.95" customHeight="1" x14ac:dyDescent="0.3">
      <c r="A5" s="36"/>
      <c r="B5" s="166" t="s">
        <v>216</v>
      </c>
      <c r="C5" s="166"/>
      <c r="D5" s="166"/>
      <c r="E5" s="166"/>
      <c r="F5" s="166"/>
      <c r="G5" s="36"/>
    </row>
    <row r="6" spans="1:7" ht="13.5" customHeight="1" x14ac:dyDescent="0.3">
      <c r="A6" s="36"/>
      <c r="B6" s="166"/>
      <c r="C6" s="166"/>
      <c r="D6" s="166"/>
      <c r="E6" s="166"/>
      <c r="F6" s="166"/>
      <c r="G6" s="36"/>
    </row>
    <row r="7" spans="1:7" ht="2.4500000000000002" customHeight="1" x14ac:dyDescent="0.3">
      <c r="A7" s="36"/>
      <c r="B7" s="95"/>
      <c r="C7" s="95"/>
      <c r="D7" s="95"/>
      <c r="E7" s="95"/>
      <c r="F7" s="95"/>
      <c r="G7" s="36"/>
    </row>
    <row r="8" spans="1:7" ht="11.45" customHeight="1" x14ac:dyDescent="0.3">
      <c r="A8" s="36"/>
      <c r="B8" s="167" t="str">
        <f>"- Methode A: CO2-vastlegging met waardering tijdelijke opslag"</f>
        <v>- Methode A: CO2-vastlegging met waardering tijdelijke opslag</v>
      </c>
      <c r="C8" s="167"/>
      <c r="D8" s="167"/>
      <c r="E8" s="167"/>
      <c r="F8" s="167"/>
      <c r="G8" s="36"/>
    </row>
    <row r="9" spans="1:7" ht="13.5" customHeight="1" x14ac:dyDescent="0.3">
      <c r="A9" s="36"/>
      <c r="B9" s="167" t="str">
        <f>"- Methode B: CO2-vastlegging zonder waardering tijdelijke opslag"</f>
        <v>- Methode B: CO2-vastlegging zonder waardering tijdelijke opslag</v>
      </c>
      <c r="C9" s="167"/>
      <c r="D9" s="167"/>
      <c r="E9" s="167"/>
      <c r="F9" s="167"/>
      <c r="G9" s="36"/>
    </row>
    <row r="10" spans="1:7" ht="2.4500000000000002" customHeight="1" x14ac:dyDescent="0.3">
      <c r="A10" s="36"/>
      <c r="B10" s="96"/>
      <c r="C10" s="96"/>
      <c r="D10" s="96"/>
      <c r="E10" s="96"/>
      <c r="F10" s="96"/>
      <c r="G10" s="36"/>
    </row>
    <row r="11" spans="1:7" ht="13.5" customHeight="1" x14ac:dyDescent="0.3">
      <c r="A11" s="1"/>
      <c r="B11" s="166" t="s">
        <v>217</v>
      </c>
      <c r="C11" s="166"/>
      <c r="D11" s="166"/>
      <c r="E11" s="166"/>
      <c r="F11" s="166"/>
      <c r="G11" s="1"/>
    </row>
    <row r="12" spans="1:7" ht="12" customHeight="1" x14ac:dyDescent="0.3">
      <c r="A12" s="1"/>
      <c r="B12" s="166"/>
      <c r="C12" s="166"/>
      <c r="D12" s="166"/>
      <c r="E12" s="166"/>
      <c r="F12" s="166"/>
      <c r="G12" s="1"/>
    </row>
    <row r="13" spans="1:7" ht="9.6" customHeight="1"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ht="12.95" customHeight="1" x14ac:dyDescent="0.3">
      <c r="A37" s="1"/>
      <c r="B37" s="1"/>
      <c r="C37" s="1"/>
      <c r="D37" s="1"/>
      <c r="E37" s="1"/>
      <c r="F37" s="1"/>
      <c r="G37" s="1"/>
    </row>
    <row r="38" spans="1:7" ht="3.95" hidden="1" customHeight="1" x14ac:dyDescent="0.3">
      <c r="A38" s="1"/>
      <c r="B38" s="1"/>
      <c r="C38" s="1"/>
      <c r="D38" s="1"/>
      <c r="E38" s="1"/>
      <c r="F38" s="1"/>
      <c r="G38" s="1"/>
    </row>
    <row r="39" spans="1:7" ht="16.5" x14ac:dyDescent="0.3">
      <c r="A39" s="1"/>
      <c r="B39" s="165" t="s">
        <v>179</v>
      </c>
      <c r="C39" s="165"/>
      <c r="D39" s="165"/>
      <c r="E39" s="165"/>
      <c r="F39" s="165"/>
      <c r="G39" s="1"/>
    </row>
    <row r="40" spans="1:7" ht="29.25" x14ac:dyDescent="0.35">
      <c r="A40" s="1"/>
      <c r="B40" s="97"/>
      <c r="C40" s="98" t="s">
        <v>257</v>
      </c>
      <c r="D40" s="98" t="s">
        <v>258</v>
      </c>
      <c r="E40" s="98" t="s">
        <v>259</v>
      </c>
      <c r="F40" s="98" t="s">
        <v>260</v>
      </c>
      <c r="G40" s="1"/>
    </row>
    <row r="41" spans="1:7" ht="15.75" x14ac:dyDescent="0.35">
      <c r="A41" s="1"/>
      <c r="B41" s="97" t="str">
        <f>Kengetallen!B98</f>
        <v>Transport (aanvoer)</v>
      </c>
      <c r="C41" s="137">
        <f>Kengetallen!D98</f>
        <v>0</v>
      </c>
      <c r="D41" s="137">
        <f>Kengetallen!C98</f>
        <v>0</v>
      </c>
      <c r="E41" s="136" t="e">
        <f>Kengetallen!F98</f>
        <v>#DIV/0!</v>
      </c>
      <c r="F41" s="136" t="e">
        <f>Kengetallen!E98</f>
        <v>#DIV/0!</v>
      </c>
      <c r="G41" s="1"/>
    </row>
    <row r="42" spans="1:7" ht="15.75" x14ac:dyDescent="0.35">
      <c r="A42" s="1"/>
      <c r="B42" s="97" t="s">
        <v>276</v>
      </c>
      <c r="C42" s="137">
        <f>Kengetallen!D99</f>
        <v>0</v>
      </c>
      <c r="D42" s="137">
        <f>Kengetallen!C99</f>
        <v>0</v>
      </c>
      <c r="E42" s="136" t="e">
        <f>Kengetallen!F99</f>
        <v>#DIV/0!</v>
      </c>
      <c r="F42" s="136" t="e">
        <f>Kengetallen!E99</f>
        <v>#DIV/0!</v>
      </c>
      <c r="G42" s="1"/>
    </row>
    <row r="43" spans="1:7" ht="15.75" x14ac:dyDescent="0.35">
      <c r="A43" s="1"/>
      <c r="B43" s="97" t="str">
        <f>Kengetallen!B100</f>
        <v>Energiegebruik inrichting</v>
      </c>
      <c r="C43" s="137">
        <f>Kengetallen!D100</f>
        <v>0</v>
      </c>
      <c r="D43" s="137">
        <f>Kengetallen!C100</f>
        <v>0</v>
      </c>
      <c r="E43" s="136" t="e">
        <f>Kengetallen!F100</f>
        <v>#DIV/0!</v>
      </c>
      <c r="F43" s="136" t="e">
        <f>Kengetallen!E100</f>
        <v>#DIV/0!</v>
      </c>
      <c r="G43" s="1"/>
    </row>
    <row r="44" spans="1:7" ht="15.75" x14ac:dyDescent="0.35">
      <c r="A44" s="1"/>
      <c r="B44" s="97" t="str">
        <f>Kengetallen!B101</f>
        <v>Hout naar bio-energiecentrale</v>
      </c>
      <c r="C44" s="137">
        <f>Kengetallen!D101</f>
        <v>0</v>
      </c>
      <c r="D44" s="137">
        <f>Kengetallen!C101</f>
        <v>0</v>
      </c>
      <c r="E44" s="136" t="e">
        <f>Kengetallen!F101</f>
        <v>#DIV/0!</v>
      </c>
      <c r="F44" s="136" t="e">
        <f>Kengetallen!E101</f>
        <v>#DIV/0!</v>
      </c>
      <c r="G44" s="1"/>
    </row>
    <row r="45" spans="1:7" ht="15.75" x14ac:dyDescent="0.35">
      <c r="A45" s="1"/>
      <c r="B45" s="97" t="str">
        <f>Kengetallen!B102</f>
        <v>Maaisels naar co-vergister</v>
      </c>
      <c r="C45" s="137">
        <f>Kengetallen!D102</f>
        <v>0</v>
      </c>
      <c r="D45" s="137">
        <f>Kengetallen!C102</f>
        <v>0</v>
      </c>
      <c r="E45" s="136" t="e">
        <f>Kengetallen!F102</f>
        <v>#DIV/0!</v>
      </c>
      <c r="F45" s="136" t="e">
        <f>Kengetallen!E102</f>
        <v>#DIV/0!</v>
      </c>
      <c r="G45" s="1"/>
    </row>
    <row r="46" spans="1:7" ht="15.75" x14ac:dyDescent="0.35">
      <c r="A46" s="1"/>
      <c r="B46" s="97" t="str">
        <f>Kengetallen!B103</f>
        <v>Maaisels naar gft-vergister</v>
      </c>
      <c r="C46" s="137">
        <f>Kengetallen!D103</f>
        <v>0</v>
      </c>
      <c r="D46" s="137">
        <f>Kengetallen!C103</f>
        <v>0</v>
      </c>
      <c r="E46" s="136" t="e">
        <f>Kengetallen!F103</f>
        <v>#DIV/0!</v>
      </c>
      <c r="F46" s="136" t="e">
        <f>Kengetallen!E103</f>
        <v>#DIV/0!</v>
      </c>
      <c r="G46" s="1"/>
    </row>
    <row r="47" spans="1:7" ht="15.75" x14ac:dyDescent="0.35">
      <c r="A47" s="1"/>
      <c r="B47" s="97" t="str">
        <f>Kengetallen!B104</f>
        <v>Afgescheiden zeefgrond</v>
      </c>
      <c r="C47" s="137">
        <f>Kengetallen!D104</f>
        <v>0</v>
      </c>
      <c r="D47" s="137">
        <f>Kengetallen!C104</f>
        <v>0</v>
      </c>
      <c r="E47" s="136" t="e">
        <f>Kengetallen!F104</f>
        <v>#DIV/0!</v>
      </c>
      <c r="F47" s="136" t="e">
        <f>Kengetallen!E104</f>
        <v>#DIV/0!</v>
      </c>
      <c r="G47" s="1"/>
    </row>
    <row r="48" spans="1:7" ht="15.75" x14ac:dyDescent="0.35">
      <c r="A48" s="1"/>
      <c r="B48" s="97" t="str">
        <f>Kengetallen!B105</f>
        <v>Bokashi</v>
      </c>
      <c r="C48" s="137">
        <f>Kengetallen!D105</f>
        <v>0</v>
      </c>
      <c r="D48" s="137">
        <f>Kengetallen!C105</f>
        <v>0</v>
      </c>
      <c r="E48" s="136" t="e">
        <f>Kengetallen!F105</f>
        <v>#DIV/0!</v>
      </c>
      <c r="F48" s="136" t="e">
        <f>Kengetallen!E105</f>
        <v>#DIV/0!</v>
      </c>
      <c r="G48" s="1"/>
    </row>
    <row r="49" spans="1:7" ht="15.75" x14ac:dyDescent="0.35">
      <c r="A49" s="1"/>
      <c r="B49" s="97" t="str">
        <f>Kengetallen!B106</f>
        <v>Kleine kringloop</v>
      </c>
      <c r="C49" s="137">
        <f>Kengetallen!D106</f>
        <v>0</v>
      </c>
      <c r="D49" s="137">
        <f>Kengetallen!C106</f>
        <v>0</v>
      </c>
      <c r="E49" s="136" t="e">
        <f>Kengetallen!F106</f>
        <v>#DIV/0!</v>
      </c>
      <c r="F49" s="136" t="e">
        <f>Kengetallen!E106</f>
        <v>#DIV/0!</v>
      </c>
      <c r="G49" s="1"/>
    </row>
    <row r="50" spans="1:7" ht="15.75" x14ac:dyDescent="0.35">
      <c r="A50" s="1"/>
      <c r="B50" s="97" t="str">
        <f>Kengetallen!B107</f>
        <v xml:space="preserve">Compostering </v>
      </c>
      <c r="C50" s="137">
        <f>Kengetallen!D107</f>
        <v>0</v>
      </c>
      <c r="D50" s="137">
        <f>Kengetallen!C107</f>
        <v>0</v>
      </c>
      <c r="E50" s="136" t="e">
        <f>Kengetallen!F107</f>
        <v>#DIV/0!</v>
      </c>
      <c r="F50" s="136" t="e">
        <f>Kengetallen!E107</f>
        <v>#DIV/0!</v>
      </c>
      <c r="G50" s="1"/>
    </row>
    <row r="51" spans="1:7" ht="15.75" x14ac:dyDescent="0.35">
      <c r="A51" s="1"/>
      <c r="B51" s="97" t="str">
        <f>Kengetallen!B108</f>
        <v>Toepassing compost</v>
      </c>
      <c r="C51" s="137">
        <f>Kengetallen!D108</f>
        <v>0</v>
      </c>
      <c r="D51" s="137">
        <f>Kengetallen!C108</f>
        <v>0</v>
      </c>
      <c r="E51" s="136" t="e">
        <f>Kengetallen!F108</f>
        <v>#DIV/0!</v>
      </c>
      <c r="F51" s="136" t="e">
        <f>Kengetallen!E108</f>
        <v>#DIV/0!</v>
      </c>
      <c r="G51" s="1"/>
    </row>
    <row r="52" spans="1:7" ht="15.75" x14ac:dyDescent="0.35">
      <c r="A52" s="1"/>
      <c r="B52" s="97" t="str">
        <f>Kengetallen!B109</f>
        <v>Surplus water naar RWZI</v>
      </c>
      <c r="C52" s="137">
        <f>Kengetallen!D109</f>
        <v>0</v>
      </c>
      <c r="D52" s="137">
        <f>Kengetallen!C109</f>
        <v>0</v>
      </c>
      <c r="E52" s="136" t="e">
        <f>Kengetallen!F109</f>
        <v>#DIV/0!</v>
      </c>
      <c r="F52" s="136" t="e">
        <f>Kengetallen!E109</f>
        <v>#DIV/0!</v>
      </c>
      <c r="G52" s="1"/>
    </row>
    <row r="53" spans="1:7" ht="15.75" x14ac:dyDescent="0.35">
      <c r="A53" s="1"/>
      <c r="B53" s="97" t="str">
        <f>Kengetallen!B110</f>
        <v>Residu naar AEC/stort/hergebruik</v>
      </c>
      <c r="C53" s="137">
        <f>Kengetallen!D110</f>
        <v>0</v>
      </c>
      <c r="D53" s="137">
        <f>Kengetallen!C110</f>
        <v>0</v>
      </c>
      <c r="E53" s="136" t="e">
        <f>Kengetallen!F110</f>
        <v>#DIV/0!</v>
      </c>
      <c r="F53" s="136" t="e">
        <f>Kengetallen!E110</f>
        <v>#DIV/0!</v>
      </c>
      <c r="G53" s="1"/>
    </row>
    <row r="54" spans="1:7" ht="15.75" x14ac:dyDescent="0.35">
      <c r="A54" s="1"/>
      <c r="B54" s="97" t="str">
        <f>Kengetallen!B111</f>
        <v>Alternatieve opwerking</v>
      </c>
      <c r="C54" s="137">
        <f>Kengetallen!D111</f>
        <v>0</v>
      </c>
      <c r="D54" s="137">
        <f>Kengetallen!C111</f>
        <v>0</v>
      </c>
      <c r="E54" s="136" t="e">
        <f>Kengetallen!F111</f>
        <v>#DIV/0!</v>
      </c>
      <c r="F54" s="136" t="e">
        <f>Kengetallen!E111</f>
        <v>#DIV/0!</v>
      </c>
      <c r="G54" s="1"/>
    </row>
    <row r="55" spans="1:7" x14ac:dyDescent="0.3">
      <c r="A55" s="1"/>
      <c r="B55" s="99" t="str">
        <f>Kengetallen!B112</f>
        <v>Totaal</v>
      </c>
      <c r="C55" s="138">
        <f>Kengetallen!D112</f>
        <v>0</v>
      </c>
      <c r="D55" s="138">
        <f>Kengetallen!C112</f>
        <v>0</v>
      </c>
      <c r="E55" s="135" t="e">
        <f>Kengetallen!F112</f>
        <v>#DIV/0!</v>
      </c>
      <c r="F55" s="135" t="e">
        <f>Kengetallen!E112</f>
        <v>#DIV/0!</v>
      </c>
      <c r="G55" s="1"/>
    </row>
    <row r="56" spans="1:7" ht="3.6" customHeight="1" x14ac:dyDescent="0.3">
      <c r="A56" s="1"/>
      <c r="B56" s="1"/>
      <c r="C56" s="1"/>
      <c r="D56" s="1"/>
      <c r="E56" s="1"/>
      <c r="F56" s="1"/>
      <c r="G56" s="1"/>
    </row>
    <row r="57" spans="1:7" ht="3" customHeight="1" x14ac:dyDescent="0.3">
      <c r="A57" s="155"/>
      <c r="B57" s="155"/>
      <c r="C57" s="155"/>
      <c r="D57" s="155"/>
      <c r="E57" s="155"/>
      <c r="F57" s="155"/>
      <c r="G57" s="155"/>
    </row>
    <row r="58" spans="1:7" x14ac:dyDescent="0.3">
      <c r="A58" s="155"/>
      <c r="B58" s="155"/>
      <c r="C58" s="155"/>
      <c r="D58" s="155"/>
      <c r="E58" s="155"/>
      <c r="F58" s="155"/>
      <c r="G58" s="155"/>
    </row>
    <row r="59" spans="1:7" ht="18.75" customHeight="1" x14ac:dyDescent="0.3">
      <c r="A59" s="155"/>
      <c r="B59" s="155"/>
      <c r="C59" s="155"/>
      <c r="D59" s="155"/>
      <c r="E59" s="155"/>
      <c r="F59" s="155"/>
      <c r="G59" s="155"/>
    </row>
  </sheetData>
  <sheetProtection algorithmName="SHA-512" hashValue="nEVnKacPCmNviQ8u9SyotBfEyrwpXnWzbchsXv14+c8sVnEHf6JSPLtcNIBzBhJ8CbVTDcy4SqPhCvVJ3K/6cQ==" saltValue="fo/mzwXUuzDqg/B7OY+6pg==" spinCount="100000" sheet="1" objects="1" scenarios="1" selectLockedCells="1"/>
  <mergeCells count="7">
    <mergeCell ref="A57:G59"/>
    <mergeCell ref="A1:G3"/>
    <mergeCell ref="B39:F39"/>
    <mergeCell ref="B5:F6"/>
    <mergeCell ref="B8:F8"/>
    <mergeCell ref="B9:F9"/>
    <mergeCell ref="B11:F1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B2:K125"/>
  <sheetViews>
    <sheetView showRowColHeaders="0" zoomScaleNormal="100" workbookViewId="0"/>
  </sheetViews>
  <sheetFormatPr defaultRowHeight="15" x14ac:dyDescent="0.3"/>
  <cols>
    <col min="1" max="1" width="3.85546875" customWidth="1"/>
    <col min="2" max="2" width="32.7109375" customWidth="1"/>
    <col min="3" max="3" width="13.42578125" customWidth="1"/>
    <col min="4" max="4" width="19.28515625" customWidth="1"/>
    <col min="5" max="5" width="18.5703125" customWidth="1"/>
    <col min="6" max="6" width="23.5703125" customWidth="1"/>
    <col min="8" max="10" width="14.5703125" customWidth="1"/>
    <col min="11" max="11" width="65.7109375" bestFit="1" customWidth="1"/>
  </cols>
  <sheetData>
    <row r="2" spans="2:11" x14ac:dyDescent="0.3">
      <c r="B2" t="s">
        <v>116</v>
      </c>
      <c r="C2" t="s">
        <v>118</v>
      </c>
      <c r="D2">
        <f>'2. Transport en voorbewerking'!C7</f>
        <v>0</v>
      </c>
    </row>
    <row r="5" spans="2:11" ht="30" x14ac:dyDescent="0.3">
      <c r="C5" s="8" t="s">
        <v>60</v>
      </c>
      <c r="D5" s="7" t="s">
        <v>111</v>
      </c>
      <c r="E5" t="s">
        <v>109</v>
      </c>
      <c r="F5" t="s">
        <v>110</v>
      </c>
      <c r="H5" s="21"/>
      <c r="I5" t="s">
        <v>108</v>
      </c>
    </row>
    <row r="6" spans="2:11" x14ac:dyDescent="0.3">
      <c r="B6" s="9" t="s">
        <v>79</v>
      </c>
    </row>
    <row r="7" spans="2:11" x14ac:dyDescent="0.3">
      <c r="B7" s="10" t="s">
        <v>167</v>
      </c>
      <c r="C7" t="s">
        <v>61</v>
      </c>
      <c r="D7" s="21">
        <v>0.86</v>
      </c>
      <c r="E7" s="21">
        <f>Achtergrond!V221*Achtergrond!W221*2</f>
        <v>0</v>
      </c>
      <c r="F7">
        <f>D7*E7</f>
        <v>0</v>
      </c>
    </row>
    <row r="8" spans="2:11" x14ac:dyDescent="0.3">
      <c r="B8" s="10" t="s">
        <v>168</v>
      </c>
      <c r="C8" t="s">
        <v>61</v>
      </c>
      <c r="D8" s="21">
        <v>0.26</v>
      </c>
      <c r="E8" s="21">
        <f>Achtergrond!V222*Achtergrond!W222*2</f>
        <v>0</v>
      </c>
      <c r="F8">
        <f>D8*E8</f>
        <v>0</v>
      </c>
    </row>
    <row r="9" spans="2:11" x14ac:dyDescent="0.3">
      <c r="B9" s="10" t="s">
        <v>169</v>
      </c>
      <c r="C9" t="s">
        <v>61</v>
      </c>
      <c r="D9" s="21">
        <v>0.2</v>
      </c>
      <c r="E9" s="21">
        <f>Achtergrond!V223*Achtergrond!W223*2</f>
        <v>0</v>
      </c>
      <c r="F9">
        <f>E9*D9</f>
        <v>0</v>
      </c>
      <c r="H9" s="93" t="s">
        <v>254</v>
      </c>
      <c r="I9" s="93"/>
      <c r="J9" s="93"/>
      <c r="K9" s="93"/>
    </row>
    <row r="10" spans="2:11" x14ac:dyDescent="0.3">
      <c r="H10" s="93" t="s">
        <v>176</v>
      </c>
      <c r="I10" s="93" t="s">
        <v>255</v>
      </c>
      <c r="J10" s="93"/>
      <c r="K10" s="93"/>
    </row>
    <row r="11" spans="2:11" x14ac:dyDescent="0.3">
      <c r="B11" s="9" t="s">
        <v>62</v>
      </c>
      <c r="H11" s="93" t="s">
        <v>177</v>
      </c>
      <c r="I11" s="93" t="s">
        <v>256</v>
      </c>
      <c r="J11" s="93"/>
      <c r="K11" s="93"/>
    </row>
    <row r="12" spans="2:11" x14ac:dyDescent="0.3">
      <c r="B12" s="10" t="s">
        <v>25</v>
      </c>
      <c r="C12" t="s">
        <v>11</v>
      </c>
      <c r="D12" s="21">
        <v>0.55600000000000005</v>
      </c>
      <c r="E12" s="21">
        <f>Achtergrond!V228</f>
        <v>0</v>
      </c>
      <c r="F12">
        <f>D12*E12</f>
        <v>0</v>
      </c>
    </row>
    <row r="13" spans="2:11" x14ac:dyDescent="0.3">
      <c r="B13" s="10" t="s">
        <v>285</v>
      </c>
      <c r="C13" t="s">
        <v>11</v>
      </c>
      <c r="D13" s="21">
        <v>0.55600000000000005</v>
      </c>
      <c r="E13" s="21">
        <f>Achtergrond!V229</f>
        <v>0</v>
      </c>
      <c r="F13">
        <f>E13*D13</f>
        <v>0</v>
      </c>
    </row>
    <row r="14" spans="2:11" x14ac:dyDescent="0.3">
      <c r="B14" s="10" t="s">
        <v>26</v>
      </c>
      <c r="C14" t="s">
        <v>11</v>
      </c>
      <c r="D14" s="21">
        <v>0.38</v>
      </c>
      <c r="E14" s="21">
        <f>Achtergrond!V230</f>
        <v>0</v>
      </c>
      <c r="F14">
        <f t="shared" ref="F14:F19" si="0">D14*E14</f>
        <v>0</v>
      </c>
    </row>
    <row r="15" spans="2:11" x14ac:dyDescent="0.3">
      <c r="B15" s="10" t="s">
        <v>27</v>
      </c>
      <c r="C15" t="s">
        <v>11</v>
      </c>
      <c r="D15" s="21">
        <v>0.47499999999999998</v>
      </c>
      <c r="E15" s="21">
        <f>Achtergrond!V231</f>
        <v>0</v>
      </c>
      <c r="F15">
        <f t="shared" si="0"/>
        <v>0</v>
      </c>
    </row>
    <row r="16" spans="2:11" x14ac:dyDescent="0.3">
      <c r="B16" s="10" t="s">
        <v>28</v>
      </c>
      <c r="C16" t="s">
        <v>11</v>
      </c>
      <c r="D16" s="21">
        <v>0</v>
      </c>
      <c r="E16" s="21">
        <f>Achtergrond!V232</f>
        <v>0</v>
      </c>
      <c r="F16">
        <f t="shared" si="0"/>
        <v>0</v>
      </c>
    </row>
    <row r="17" spans="2:11" x14ac:dyDescent="0.3">
      <c r="B17" s="10" t="s">
        <v>29</v>
      </c>
      <c r="C17" t="s">
        <v>31</v>
      </c>
      <c r="D17" s="21">
        <v>3.23</v>
      </c>
      <c r="E17" s="21">
        <f>Achtergrond!V234</f>
        <v>0</v>
      </c>
      <c r="F17">
        <f t="shared" si="0"/>
        <v>0</v>
      </c>
    </row>
    <row r="18" spans="2:11" x14ac:dyDescent="0.3">
      <c r="B18" s="10" t="s">
        <v>30</v>
      </c>
      <c r="C18" t="s">
        <v>10</v>
      </c>
      <c r="D18" s="21">
        <v>1.8839999999999999</v>
      </c>
      <c r="E18" s="21">
        <f>Achtergrond!V235</f>
        <v>0</v>
      </c>
      <c r="F18">
        <f t="shared" si="0"/>
        <v>0</v>
      </c>
    </row>
    <row r="19" spans="2:11" x14ac:dyDescent="0.3">
      <c r="B19" s="10" t="s">
        <v>315</v>
      </c>
      <c r="C19" t="s">
        <v>31</v>
      </c>
      <c r="D19" s="144">
        <v>2.7839999999999998</v>
      </c>
      <c r="E19" s="21">
        <f>Achtergrond!V236</f>
        <v>0</v>
      </c>
      <c r="F19">
        <f t="shared" si="0"/>
        <v>0</v>
      </c>
    </row>
    <row r="21" spans="2:11" x14ac:dyDescent="0.3">
      <c r="B21" s="11" t="s">
        <v>63</v>
      </c>
    </row>
    <row r="22" spans="2:11" x14ac:dyDescent="0.3">
      <c r="B22" s="10" t="s">
        <v>275</v>
      </c>
      <c r="C22" t="s">
        <v>61</v>
      </c>
      <c r="D22" s="21">
        <v>0.2</v>
      </c>
      <c r="E22" s="21">
        <f>cell_hout_bio*'2. Transport en voorbewerking'!G33*2+cell_maai_cogist*cell_maai_cogist_afstand*2+cell_maai_gftgist*'2. Transport en voorbewerking'!G35*2+cell_bokashi*'2. Transport en voorbewerking'!G36*2+cell_klein_kring*'2. Transport en voorbewerking'!G37*2+cell_compostering*'2. Transport en voorbewerking'!G39*2+cell_zeefgrond*'2. Transport en voorbewerking'!G40*2+cell_residu*'2. Transport en voorbewerking'!G42*2+cell_hergebruik*'2. Transport en voorbewerking'!G43*2+cell_alternatief*'2. Transport en voorbewerking'!G44*2</f>
        <v>0</v>
      </c>
      <c r="F22">
        <f>E22*D22</f>
        <v>0</v>
      </c>
    </row>
    <row r="23" spans="2:11" x14ac:dyDescent="0.3">
      <c r="B23" s="10" t="s">
        <v>64</v>
      </c>
      <c r="C23" t="s">
        <v>19</v>
      </c>
      <c r="D23" s="21">
        <f>0.0089-(Achtergrond!V138*Achtergrond!V139*0.0256)-(Achtergrond!V138*Achtergrond!V140*0.154)</f>
        <v>8.8999999999999999E-3</v>
      </c>
      <c r="E23" s="21">
        <f>(Achtergrond!V136)*1000</f>
        <v>0</v>
      </c>
      <c r="F23">
        <f>E23*D23</f>
        <v>0</v>
      </c>
      <c r="K23" s="7"/>
    </row>
    <row r="24" spans="2:11" x14ac:dyDescent="0.3">
      <c r="B24" s="10" t="s">
        <v>65</v>
      </c>
      <c r="D24" s="39"/>
      <c r="E24" s="39"/>
      <c r="F24" s="39"/>
    </row>
    <row r="25" spans="2:11" x14ac:dyDescent="0.3">
      <c r="B25" s="29" t="s">
        <v>170</v>
      </c>
      <c r="C25" t="s">
        <v>19</v>
      </c>
      <c r="D25" s="21">
        <f>-Achtergrond!V143*Achtergrond!V146*Achtergrond!V147/100/3.6*0.556</f>
        <v>0</v>
      </c>
      <c r="E25" s="21">
        <f>Achtergrond!V145*1000</f>
        <v>0</v>
      </c>
      <c r="F25">
        <f>E25*D25</f>
        <v>0</v>
      </c>
    </row>
    <row r="26" spans="2:11" x14ac:dyDescent="0.3">
      <c r="B26" s="29" t="s">
        <v>171</v>
      </c>
      <c r="C26" t="s">
        <v>19</v>
      </c>
      <c r="D26" s="21">
        <f>-Achtergrond!V143*Achtergrond!V149*1.884</f>
        <v>0</v>
      </c>
      <c r="E26" s="21">
        <f>Achtergrond!V148*1000</f>
        <v>0</v>
      </c>
      <c r="F26">
        <f>E26*D26</f>
        <v>0</v>
      </c>
    </row>
    <row r="27" spans="2:11" x14ac:dyDescent="0.3">
      <c r="B27" s="29" t="s">
        <v>136</v>
      </c>
      <c r="C27" t="s">
        <v>76</v>
      </c>
      <c r="D27" s="21">
        <v>3.4000000000000002E-2</v>
      </c>
      <c r="E27" s="21">
        <f>460*((Achtergrond!V145+Achtergrond!V148)*1000)/1000</f>
        <v>0</v>
      </c>
      <c r="F27">
        <f>D27*E27</f>
        <v>0</v>
      </c>
    </row>
    <row r="28" spans="2:11" x14ac:dyDescent="0.3">
      <c r="B28" s="29" t="s">
        <v>137</v>
      </c>
      <c r="C28" t="s">
        <v>76</v>
      </c>
      <c r="D28" s="21">
        <v>0.29799999999999999</v>
      </c>
      <c r="E28" s="21">
        <f>10*((Achtergrond!V145+Achtergrond!V148)*1000)/1000</f>
        <v>0</v>
      </c>
      <c r="F28">
        <f>E28*D28</f>
        <v>0</v>
      </c>
    </row>
    <row r="29" spans="2:11" x14ac:dyDescent="0.3">
      <c r="B29" s="29" t="s">
        <v>145</v>
      </c>
      <c r="C29" t="s">
        <v>19</v>
      </c>
      <c r="D29" s="21">
        <v>-1</v>
      </c>
      <c r="E29" s="52">
        <f>2.7*((Achtergrond!V145+Achtergrond!V148)*1000)/1000</f>
        <v>0</v>
      </c>
      <c r="F29">
        <f>D29*E29</f>
        <v>0</v>
      </c>
    </row>
    <row r="30" spans="2:11" x14ac:dyDescent="0.3">
      <c r="B30" s="29" t="s">
        <v>144</v>
      </c>
      <c r="C30" t="s">
        <v>19</v>
      </c>
      <c r="D30" s="21">
        <v>-1</v>
      </c>
      <c r="E30" s="52">
        <f>8.8*((Achtergrond!V145+Achtergrond!V148)*1000)/1000</f>
        <v>0</v>
      </c>
      <c r="F30">
        <f>E30*D30</f>
        <v>0</v>
      </c>
    </row>
    <row r="31" spans="2:11" x14ac:dyDescent="0.3">
      <c r="B31" s="10" t="s">
        <v>66</v>
      </c>
      <c r="C31" t="s">
        <v>19</v>
      </c>
      <c r="D31" s="39"/>
      <c r="E31" s="39"/>
    </row>
    <row r="32" spans="2:11" x14ac:dyDescent="0.3">
      <c r="B32" s="29" t="s">
        <v>170</v>
      </c>
      <c r="C32" t="s">
        <v>19</v>
      </c>
      <c r="D32" s="21">
        <f>-Achtergrond!V152*Achtergrond!V155*Achtergrond!V156/100/3.6*0.556</f>
        <v>0</v>
      </c>
      <c r="E32" s="21">
        <f>Achtergrond!V154*1000</f>
        <v>0</v>
      </c>
      <c r="F32">
        <f>E32*D32</f>
        <v>0</v>
      </c>
    </row>
    <row r="33" spans="2:6" x14ac:dyDescent="0.3">
      <c r="B33" s="29" t="s">
        <v>171</v>
      </c>
      <c r="C33" t="s">
        <v>19</v>
      </c>
      <c r="D33" s="21">
        <f>-Achtergrond!V152*Achtergrond!V158*1.884</f>
        <v>0</v>
      </c>
      <c r="E33" s="21">
        <f>Achtergrond!V157*1000</f>
        <v>0</v>
      </c>
      <c r="F33">
        <f>E33*D33</f>
        <v>0</v>
      </c>
    </row>
    <row r="34" spans="2:6" x14ac:dyDescent="0.3">
      <c r="B34" s="29" t="s">
        <v>139</v>
      </c>
      <c r="C34" t="s">
        <v>76</v>
      </c>
      <c r="D34" s="21">
        <v>3.4000000000000002E-2</v>
      </c>
      <c r="E34" s="21">
        <f>500*((Achtergrond!V154+Achtergrond!V157)*1000)/1000</f>
        <v>0</v>
      </c>
      <c r="F34">
        <f t="shared" ref="F34:F35" si="1">D34*E34</f>
        <v>0</v>
      </c>
    </row>
    <row r="35" spans="2:6" x14ac:dyDescent="0.3">
      <c r="B35" s="29" t="s">
        <v>140</v>
      </c>
      <c r="C35" t="s">
        <v>76</v>
      </c>
      <c r="D35" s="21">
        <v>0.29799999999999999</v>
      </c>
      <c r="E35" s="21">
        <f>20*((Achtergrond!V154+Achtergrond!V157)*1000)/1000</f>
        <v>0</v>
      </c>
      <c r="F35">
        <f t="shared" si="1"/>
        <v>0</v>
      </c>
    </row>
    <row r="36" spans="2:6" x14ac:dyDescent="0.3">
      <c r="B36" s="29" t="s">
        <v>145</v>
      </c>
      <c r="C36" t="s">
        <v>19</v>
      </c>
      <c r="D36" s="21">
        <v>-1</v>
      </c>
      <c r="E36" s="21">
        <f>25.1*((Achtergrond!V154+Achtergrond!V157)*1000)/1000</f>
        <v>0</v>
      </c>
      <c r="F36">
        <f>E36*D36</f>
        <v>0</v>
      </c>
    </row>
    <row r="37" spans="2:6" x14ac:dyDescent="0.3">
      <c r="B37" s="29" t="s">
        <v>144</v>
      </c>
      <c r="C37" t="s">
        <v>19</v>
      </c>
      <c r="D37" s="21">
        <v>-1</v>
      </c>
      <c r="E37" s="21">
        <f>81.2*((Achtergrond!V154+Achtergrond!V157)*1000)/1000</f>
        <v>0</v>
      </c>
      <c r="F37">
        <f>E37*D37</f>
        <v>0</v>
      </c>
    </row>
    <row r="38" spans="2:6" x14ac:dyDescent="0.3">
      <c r="B38" s="10" t="s">
        <v>12</v>
      </c>
      <c r="C38" t="s">
        <v>19</v>
      </c>
      <c r="D38" s="21">
        <f>-11.4/1000</f>
        <v>-1.14E-2</v>
      </c>
      <c r="E38" s="21">
        <f>Achtergrond!V161*1000</f>
        <v>0</v>
      </c>
      <c r="F38">
        <f>E38*D38</f>
        <v>0</v>
      </c>
    </row>
    <row r="39" spans="2:6" x14ac:dyDescent="0.3">
      <c r="B39" s="10" t="s">
        <v>14</v>
      </c>
    </row>
    <row r="40" spans="2:6" x14ac:dyDescent="0.3">
      <c r="B40" s="29" t="s">
        <v>150</v>
      </c>
      <c r="C40" t="s">
        <v>19</v>
      </c>
      <c r="D40" s="21">
        <f>4.4/1000</f>
        <v>4.4000000000000003E-3</v>
      </c>
      <c r="E40" s="21">
        <f>Achtergrond!V164*1000</f>
        <v>0</v>
      </c>
      <c r="F40">
        <f>E40*D40</f>
        <v>0</v>
      </c>
    </row>
    <row r="41" spans="2:6" x14ac:dyDescent="0.3">
      <c r="B41" s="29" t="s">
        <v>148</v>
      </c>
      <c r="C41" t="s">
        <v>76</v>
      </c>
      <c r="D41" s="21">
        <v>3.4000000000000002E-2</v>
      </c>
      <c r="E41" s="21">
        <f>12000*Achtergrond!V164*1000/1000</f>
        <v>0</v>
      </c>
      <c r="F41">
        <f>E41*D41</f>
        <v>0</v>
      </c>
    </row>
    <row r="42" spans="2:6" x14ac:dyDescent="0.3">
      <c r="B42" s="29" t="s">
        <v>149</v>
      </c>
      <c r="C42" t="s">
        <v>76</v>
      </c>
      <c r="D42" s="21">
        <v>0.29799999999999999</v>
      </c>
      <c r="E42" s="21">
        <f>(13+60)*Achtergrond!V164*1000/1000</f>
        <v>0</v>
      </c>
      <c r="F42">
        <f>E42*D42</f>
        <v>0</v>
      </c>
    </row>
    <row r="43" spans="2:6" x14ac:dyDescent="0.3">
      <c r="B43" s="29" t="s">
        <v>147</v>
      </c>
      <c r="C43" t="s">
        <v>19</v>
      </c>
      <c r="D43" s="21">
        <v>-1</v>
      </c>
      <c r="E43" s="52">
        <f>10.4*Achtergrond!V164*1000/1000</f>
        <v>0</v>
      </c>
      <c r="F43">
        <f>E43*D43</f>
        <v>0</v>
      </c>
    </row>
    <row r="44" spans="2:6" x14ac:dyDescent="0.3">
      <c r="B44" s="29" t="s">
        <v>146</v>
      </c>
      <c r="C44" t="s">
        <v>19</v>
      </c>
      <c r="D44" s="21">
        <v>-1</v>
      </c>
      <c r="E44" s="52">
        <f>33.5*Achtergrond!V164*1000/1000</f>
        <v>0</v>
      </c>
      <c r="F44">
        <f>E44*D44</f>
        <v>0</v>
      </c>
    </row>
    <row r="45" spans="2:6" x14ac:dyDescent="0.3">
      <c r="B45" s="10" t="s">
        <v>131</v>
      </c>
      <c r="C45" t="s">
        <v>19</v>
      </c>
    </row>
    <row r="46" spans="2:6" x14ac:dyDescent="0.3">
      <c r="B46" s="29" t="s">
        <v>148</v>
      </c>
      <c r="C46" t="s">
        <v>76</v>
      </c>
      <c r="D46" s="21">
        <v>3.4000000000000002E-2</v>
      </c>
      <c r="E46" s="21">
        <f>12000*Achtergrond!V167*1000/1000</f>
        <v>0</v>
      </c>
      <c r="F46">
        <f>E46*D46</f>
        <v>0</v>
      </c>
    </row>
    <row r="47" spans="2:6" x14ac:dyDescent="0.3">
      <c r="B47" s="29" t="s">
        <v>149</v>
      </c>
      <c r="C47" t="s">
        <v>76</v>
      </c>
      <c r="D47" s="21">
        <v>0.29799999999999999</v>
      </c>
      <c r="E47" s="21">
        <f>60*Achtergrond!V167*1000/1000</f>
        <v>0</v>
      </c>
      <c r="F47">
        <f>E47*D47</f>
        <v>0</v>
      </c>
    </row>
    <row r="48" spans="2:6" x14ac:dyDescent="0.3">
      <c r="B48" s="29" t="s">
        <v>147</v>
      </c>
      <c r="C48" t="s">
        <v>19</v>
      </c>
      <c r="D48" s="21">
        <v>-1</v>
      </c>
      <c r="E48" s="52">
        <f>10.4*Achtergrond!V167*1000/1000</f>
        <v>0</v>
      </c>
      <c r="F48">
        <f>E48*D48</f>
        <v>0</v>
      </c>
    </row>
    <row r="49" spans="2:11" x14ac:dyDescent="0.3">
      <c r="B49" s="29" t="s">
        <v>146</v>
      </c>
      <c r="C49" t="s">
        <v>19</v>
      </c>
      <c r="D49" s="21">
        <v>-1</v>
      </c>
      <c r="E49" s="52">
        <f>33.5*Achtergrond!V167*1000/1000</f>
        <v>0</v>
      </c>
      <c r="F49">
        <f>E49*D49</f>
        <v>0</v>
      </c>
    </row>
    <row r="50" spans="2:11" x14ac:dyDescent="0.3">
      <c r="B50" s="10" t="s">
        <v>35</v>
      </c>
      <c r="C50" t="s">
        <v>67</v>
      </c>
      <c r="D50" s="21">
        <v>1</v>
      </c>
      <c r="E50" s="21">
        <f>'3. Bewerking'!F76*'3. Bewerking'!C76+'3. Bewerking'!F77*'3. Bewerking'!C77+'3. Bewerking'!F78*'3. Bewerking'!C78</f>
        <v>0</v>
      </c>
      <c r="F50">
        <f>D50*E50</f>
        <v>0</v>
      </c>
    </row>
    <row r="51" spans="2:11" x14ac:dyDescent="0.3">
      <c r="B51" s="10" t="s">
        <v>68</v>
      </c>
      <c r="D51" s="21"/>
      <c r="E51" s="21"/>
    </row>
    <row r="52" spans="2:11" x14ac:dyDescent="0.3">
      <c r="B52" s="29" t="s">
        <v>299</v>
      </c>
      <c r="C52" t="s">
        <v>10</v>
      </c>
      <c r="D52" s="21">
        <v>0.105</v>
      </c>
      <c r="E52" s="21">
        <f>Achtergrond!V170</f>
        <v>0</v>
      </c>
      <c r="F52">
        <f>E52*D52</f>
        <v>0</v>
      </c>
    </row>
    <row r="53" spans="2:11" x14ac:dyDescent="0.3">
      <c r="B53" s="29" t="s">
        <v>300</v>
      </c>
      <c r="C53" t="s">
        <v>10</v>
      </c>
      <c r="D53" s="21">
        <v>0.105</v>
      </c>
      <c r="E53" s="21">
        <f>Achtergrond!V171</f>
        <v>0</v>
      </c>
      <c r="F53">
        <f t="shared" ref="F53:F54" si="2">E53*D53</f>
        <v>0</v>
      </c>
    </row>
    <row r="54" spans="2:11" x14ac:dyDescent="0.3">
      <c r="B54" s="29" t="s">
        <v>301</v>
      </c>
      <c r="C54" t="s">
        <v>61</v>
      </c>
      <c r="D54" s="21">
        <f>D9</f>
        <v>0.2</v>
      </c>
      <c r="E54" s="21">
        <f>Achtergrond!V172*Achtergrond!V171*2</f>
        <v>0</v>
      </c>
      <c r="F54">
        <f t="shared" si="2"/>
        <v>0</v>
      </c>
    </row>
    <row r="55" spans="2:11" x14ac:dyDescent="0.3">
      <c r="B55" s="10" t="s">
        <v>69</v>
      </c>
      <c r="C55" t="s">
        <v>19</v>
      </c>
      <c r="D55" s="21">
        <v>-0.25</v>
      </c>
      <c r="E55" s="21">
        <f>Achtergrond!V175*1000</f>
        <v>0</v>
      </c>
      <c r="F55">
        <f>E55*D55</f>
        <v>0</v>
      </c>
    </row>
    <row r="56" spans="2:11" x14ac:dyDescent="0.3">
      <c r="B56" s="10" t="s">
        <v>70</v>
      </c>
      <c r="C56" t="s">
        <v>19</v>
      </c>
      <c r="D56" s="21">
        <v>0.09</v>
      </c>
      <c r="E56" s="21">
        <f>Achtergrond!V176*1000</f>
        <v>0</v>
      </c>
      <c r="F56">
        <f>E56*D56</f>
        <v>0</v>
      </c>
    </row>
    <row r="57" spans="2:11" x14ac:dyDescent="0.3">
      <c r="B57" s="10" t="s">
        <v>295</v>
      </c>
      <c r="C57" t="s">
        <v>19</v>
      </c>
      <c r="D57" s="21">
        <v>0</v>
      </c>
      <c r="E57" s="21">
        <f>Achtergrond!V177*1000</f>
        <v>0</v>
      </c>
      <c r="F57">
        <f>E57*D57</f>
        <v>0</v>
      </c>
    </row>
    <row r="59" spans="2:11" x14ac:dyDescent="0.3">
      <c r="B59" s="11" t="s">
        <v>16</v>
      </c>
    </row>
    <row r="60" spans="2:11" x14ac:dyDescent="0.3">
      <c r="B60" s="10" t="s">
        <v>77</v>
      </c>
      <c r="C60" t="s">
        <v>76</v>
      </c>
      <c r="D60" s="21">
        <f>34/1000</f>
        <v>3.4000000000000002E-2</v>
      </c>
      <c r="E60" s="21">
        <f>1400*Achtergrond!V179</f>
        <v>0</v>
      </c>
      <c r="F60">
        <f>E60*D60</f>
        <v>0</v>
      </c>
    </row>
    <row r="61" spans="2:11" x14ac:dyDescent="0.3">
      <c r="B61" s="10" t="s">
        <v>78</v>
      </c>
      <c r="C61" t="s">
        <v>76</v>
      </c>
      <c r="D61" s="21">
        <f>298/1000</f>
        <v>0.29799999999999999</v>
      </c>
      <c r="E61" s="21">
        <f>49*Achtergrond!V179</f>
        <v>0</v>
      </c>
      <c r="F61">
        <f t="shared" ref="F61" si="3">E61*D61</f>
        <v>0</v>
      </c>
    </row>
    <row r="62" spans="2:11" x14ac:dyDescent="0.3">
      <c r="B62" s="10"/>
    </row>
    <row r="63" spans="2:11" x14ac:dyDescent="0.3">
      <c r="B63" s="10" t="s">
        <v>71</v>
      </c>
      <c r="C63" t="s">
        <v>19</v>
      </c>
      <c r="D63" s="21">
        <f>-0.858</f>
        <v>-0.85799999999999998</v>
      </c>
      <c r="E63" s="21">
        <f>IFERROR(C76*1000/C78*D93*C85*400,0)</f>
        <v>0</v>
      </c>
      <c r="F63">
        <f>E63*D63</f>
        <v>0</v>
      </c>
      <c r="K63" s="7"/>
    </row>
    <row r="64" spans="2:11" x14ac:dyDescent="0.3">
      <c r="B64" s="10" t="s">
        <v>72</v>
      </c>
      <c r="C64" t="s">
        <v>19</v>
      </c>
      <c r="D64" s="21">
        <v>-6.67</v>
      </c>
      <c r="E64" s="21">
        <f>E93*(C79/1000)*(C77/100)*C76*1000*H93</f>
        <v>0</v>
      </c>
      <c r="F64">
        <f>E64*D64</f>
        <v>0</v>
      </c>
    </row>
    <row r="65" spans="2:6" x14ac:dyDescent="0.3">
      <c r="B65" s="10" t="s">
        <v>73</v>
      </c>
      <c r="C65" t="s">
        <v>19</v>
      </c>
      <c r="D65" s="21">
        <v>-1.52</v>
      </c>
      <c r="E65" s="21">
        <f>E93*(C81/1000)*(C77/100)*C76*1000*I93</f>
        <v>0</v>
      </c>
      <c r="F65">
        <f t="shared" ref="F65:F68" si="4">E65*D65</f>
        <v>0</v>
      </c>
    </row>
    <row r="66" spans="2:6" x14ac:dyDescent="0.3">
      <c r="B66" s="10" t="s">
        <v>74</v>
      </c>
      <c r="C66" t="s">
        <v>19</v>
      </c>
      <c r="D66" s="21">
        <v>-0.56000000000000005</v>
      </c>
      <c r="E66" s="21">
        <f>E93*(C82/1000)*(C77/100)*C76*1000*J93</f>
        <v>0</v>
      </c>
      <c r="F66">
        <f t="shared" si="4"/>
        <v>0</v>
      </c>
    </row>
    <row r="67" spans="2:6" x14ac:dyDescent="0.3">
      <c r="B67" s="10" t="s">
        <v>138</v>
      </c>
      <c r="C67" t="s">
        <v>76</v>
      </c>
      <c r="D67" s="21">
        <f>-D61</f>
        <v>-0.29799999999999999</v>
      </c>
      <c r="E67" s="21">
        <f>C79*C77/100*C76*1000*0.0125*(44/14)*H93*E93</f>
        <v>0</v>
      </c>
      <c r="F67">
        <f t="shared" si="4"/>
        <v>0</v>
      </c>
    </row>
    <row r="68" spans="2:6" x14ac:dyDescent="0.3">
      <c r="B68" s="10" t="s">
        <v>75</v>
      </c>
      <c r="C68" t="s">
        <v>76</v>
      </c>
      <c r="D68" s="21">
        <f>D61</f>
        <v>0.29799999999999999</v>
      </c>
      <c r="E68" s="21">
        <f>C79*C77/100*C76*1000*0.0125*(44/14)*0</f>
        <v>0</v>
      </c>
      <c r="F68">
        <f t="shared" si="4"/>
        <v>0</v>
      </c>
    </row>
    <row r="69" spans="2:6" x14ac:dyDescent="0.3">
      <c r="B69" s="10" t="s">
        <v>143</v>
      </c>
      <c r="C69" t="s">
        <v>19</v>
      </c>
      <c r="D69" s="21">
        <v>-1</v>
      </c>
      <c r="E69" s="21">
        <f>46.4*C76</f>
        <v>0</v>
      </c>
      <c r="F69">
        <f>E69*D69</f>
        <v>0</v>
      </c>
    </row>
    <row r="70" spans="2:6" x14ac:dyDescent="0.3">
      <c r="B70" s="10" t="s">
        <v>142</v>
      </c>
      <c r="C70" t="s">
        <v>19</v>
      </c>
      <c r="D70" s="21">
        <v>-1</v>
      </c>
      <c r="E70" s="21">
        <f>150.1*C76</f>
        <v>0</v>
      </c>
      <c r="F70">
        <f>E70*D70</f>
        <v>0</v>
      </c>
    </row>
    <row r="74" spans="2:6" x14ac:dyDescent="0.3">
      <c r="B74" s="9" t="s">
        <v>80</v>
      </c>
    </row>
    <row r="76" spans="2:6" x14ac:dyDescent="0.3">
      <c r="B76" s="10" t="s">
        <v>81</v>
      </c>
      <c r="C76">
        <f>cell_compostering</f>
        <v>0</v>
      </c>
      <c r="D76" t="s">
        <v>281</v>
      </c>
    </row>
    <row r="77" spans="2:6" x14ac:dyDescent="0.3">
      <c r="B77" s="10" t="s">
        <v>100</v>
      </c>
      <c r="C77">
        <f>Achtergrond!V182</f>
        <v>0</v>
      </c>
      <c r="D77" t="s">
        <v>5</v>
      </c>
    </row>
    <row r="78" spans="2:6" x14ac:dyDescent="0.3">
      <c r="B78" s="10" t="s">
        <v>103</v>
      </c>
      <c r="C78">
        <v>600</v>
      </c>
      <c r="D78" t="s">
        <v>99</v>
      </c>
    </row>
    <row r="79" spans="2:6" x14ac:dyDescent="0.3">
      <c r="B79" s="10" t="s">
        <v>82</v>
      </c>
      <c r="C79">
        <f>Achtergrond!V184</f>
        <v>0</v>
      </c>
      <c r="D79" t="s">
        <v>86</v>
      </c>
    </row>
    <row r="80" spans="2:6" x14ac:dyDescent="0.3">
      <c r="B80" s="10" t="s">
        <v>83</v>
      </c>
      <c r="C80">
        <f>0.5*C83/1000</f>
        <v>0</v>
      </c>
      <c r="D80" t="s">
        <v>87</v>
      </c>
    </row>
    <row r="81" spans="2:10" x14ac:dyDescent="0.3">
      <c r="B81" s="10" t="s">
        <v>84</v>
      </c>
      <c r="C81">
        <f>Achtergrond!V185</f>
        <v>0</v>
      </c>
      <c r="D81" t="s">
        <v>86</v>
      </c>
    </row>
    <row r="82" spans="2:10" x14ac:dyDescent="0.3">
      <c r="B82" s="10" t="s">
        <v>85</v>
      </c>
      <c r="C82">
        <f>Achtergrond!V186</f>
        <v>0</v>
      </c>
      <c r="D82" t="s">
        <v>86</v>
      </c>
    </row>
    <row r="83" spans="2:10" x14ac:dyDescent="0.3">
      <c r="B83" s="10" t="s">
        <v>47</v>
      </c>
      <c r="C83">
        <f>Achtergrond!V187</f>
        <v>0</v>
      </c>
      <c r="D83" t="s">
        <v>86</v>
      </c>
    </row>
    <row r="85" spans="2:10" x14ac:dyDescent="0.3">
      <c r="B85" s="10" t="s">
        <v>101</v>
      </c>
      <c r="C85" s="21">
        <v>1</v>
      </c>
      <c r="D85" t="s">
        <v>102</v>
      </c>
    </row>
    <row r="87" spans="2:10" ht="59.1" customHeight="1" x14ac:dyDescent="0.3">
      <c r="B87" s="12" t="s">
        <v>88</v>
      </c>
      <c r="C87" s="12" t="s">
        <v>89</v>
      </c>
      <c r="D87" s="12" t="s">
        <v>90</v>
      </c>
      <c r="E87" s="12" t="s">
        <v>91</v>
      </c>
      <c r="F87" s="12" t="s">
        <v>92</v>
      </c>
      <c r="G87" s="5"/>
      <c r="H87" s="12" t="s">
        <v>94</v>
      </c>
      <c r="I87" s="12" t="s">
        <v>95</v>
      </c>
      <c r="J87" s="12" t="s">
        <v>96</v>
      </c>
    </row>
    <row r="88" spans="2:10" x14ac:dyDescent="0.3">
      <c r="B88" s="13" t="s">
        <v>51</v>
      </c>
      <c r="C88" s="14">
        <f>Achtergrond!V193</f>
        <v>0</v>
      </c>
      <c r="D88" s="22">
        <v>0</v>
      </c>
      <c r="E88" s="23">
        <v>0.5</v>
      </c>
      <c r="F88" s="5"/>
      <c r="G88" s="5"/>
      <c r="H88" s="22">
        <v>0.37</v>
      </c>
      <c r="I88" s="22">
        <v>1</v>
      </c>
      <c r="J88" s="22">
        <v>1</v>
      </c>
    </row>
    <row r="89" spans="2:10" x14ac:dyDescent="0.3">
      <c r="B89" s="13" t="s">
        <v>52</v>
      </c>
      <c r="C89" s="14">
        <f>Achtergrond!V196</f>
        <v>0</v>
      </c>
      <c r="D89" s="22">
        <v>1</v>
      </c>
      <c r="E89" s="23">
        <v>1</v>
      </c>
      <c r="F89" s="5"/>
      <c r="G89" s="5"/>
      <c r="H89" s="22">
        <v>0.37</v>
      </c>
      <c r="I89" s="22">
        <v>1</v>
      </c>
      <c r="J89" s="22">
        <v>1</v>
      </c>
    </row>
    <row r="90" spans="2:10" x14ac:dyDescent="0.3">
      <c r="B90" s="13" t="s">
        <v>53</v>
      </c>
      <c r="C90" s="14">
        <f>Achtergrond!V197</f>
        <v>0</v>
      </c>
      <c r="D90" s="22">
        <v>0.5</v>
      </c>
      <c r="E90" s="23">
        <v>0</v>
      </c>
      <c r="F90" s="5"/>
      <c r="G90" s="5"/>
      <c r="H90" s="22">
        <v>0.37</v>
      </c>
      <c r="I90" s="22">
        <v>1</v>
      </c>
      <c r="J90" s="22">
        <v>1</v>
      </c>
    </row>
    <row r="91" spans="2:10" x14ac:dyDescent="0.3">
      <c r="B91" s="13" t="s">
        <v>269</v>
      </c>
      <c r="C91" s="14">
        <f>Achtergrond!V198</f>
        <v>0</v>
      </c>
      <c r="D91" s="22">
        <v>1</v>
      </c>
      <c r="E91" s="23">
        <v>1</v>
      </c>
      <c r="F91" s="5"/>
      <c r="G91" s="5"/>
      <c r="H91" s="22">
        <v>0.37</v>
      </c>
      <c r="I91" s="22">
        <v>1</v>
      </c>
      <c r="J91" s="22">
        <v>1</v>
      </c>
    </row>
    <row r="92" spans="2:10" x14ac:dyDescent="0.3">
      <c r="B92" s="13" t="s">
        <v>54</v>
      </c>
      <c r="C92" s="14">
        <f>Achtergrond!V201</f>
        <v>1</v>
      </c>
      <c r="D92" s="22">
        <v>0</v>
      </c>
      <c r="E92" s="23">
        <v>0</v>
      </c>
      <c r="F92" s="5"/>
      <c r="G92" s="5"/>
      <c r="H92" s="22">
        <v>0.37</v>
      </c>
      <c r="I92" s="22">
        <v>1</v>
      </c>
      <c r="J92" s="22">
        <v>1</v>
      </c>
    </row>
    <row r="93" spans="2:10" x14ac:dyDescent="0.3">
      <c r="B93" s="13" t="s">
        <v>93</v>
      </c>
      <c r="C93" s="5"/>
      <c r="D93" s="23">
        <f>(D88*C88)+(D89*C89)+(D90*C90)+(D91*C91)+(D92*C92)</f>
        <v>0</v>
      </c>
      <c r="E93" s="23">
        <f>(E88*C88)+(E89*C89)+(E90*C90)+(E91*C91)+(E92*C92)</f>
        <v>0</v>
      </c>
      <c r="F93" s="14">
        <f>(F88*C88)+(F89*C89)+(F90*C90)+(F91*C91)+(F92*C92)</f>
        <v>0</v>
      </c>
      <c r="G93" s="14"/>
      <c r="H93" s="23">
        <f>(H88*C88)+(H89*C89)+(H90*C90)+(H91*C91)+(H92*C92)</f>
        <v>0.37</v>
      </c>
      <c r="I93" s="23">
        <f>(I88*C88)+(I89*C89)+(I90*C90)+(I91*C91)+(I92*C92)</f>
        <v>1</v>
      </c>
      <c r="J93" s="23">
        <f>(J88*C88)+(J89*C89)+(J90*C90)+(J91*C91)+(J92*C92)</f>
        <v>1</v>
      </c>
    </row>
    <row r="96" spans="2:10" x14ac:dyDescent="0.3">
      <c r="B96" s="11" t="s">
        <v>153</v>
      </c>
    </row>
    <row r="97" spans="2:6" ht="30" x14ac:dyDescent="0.3">
      <c r="C97" s="7" t="s">
        <v>201</v>
      </c>
      <c r="D97" s="7" t="s">
        <v>200</v>
      </c>
      <c r="E97" t="s">
        <v>155</v>
      </c>
      <c r="F97" t="s">
        <v>154</v>
      </c>
    </row>
    <row r="98" spans="2:6" x14ac:dyDescent="0.3">
      <c r="B98" s="10" t="s">
        <v>112</v>
      </c>
      <c r="C98" s="27">
        <f>SUM(F7:F8)</f>
        <v>0</v>
      </c>
      <c r="D98" s="27">
        <f>SUM(F7:F8)</f>
        <v>0</v>
      </c>
      <c r="E98" s="26" t="e">
        <f>C98/D$2</f>
        <v>#DIV/0!</v>
      </c>
      <c r="F98" s="26" t="e">
        <f>D98/D$2</f>
        <v>#DIV/0!</v>
      </c>
    </row>
    <row r="99" spans="2:6" x14ac:dyDescent="0.3">
      <c r="B99" s="10" t="s">
        <v>276</v>
      </c>
      <c r="C99" s="27">
        <f>F22</f>
        <v>0</v>
      </c>
      <c r="D99" s="27">
        <f>F22</f>
        <v>0</v>
      </c>
      <c r="E99" s="26" t="e">
        <f>C99/D$2</f>
        <v>#DIV/0!</v>
      </c>
      <c r="F99" s="26" t="e">
        <f>D99/D$2</f>
        <v>#DIV/0!</v>
      </c>
    </row>
    <row r="100" spans="2:6" x14ac:dyDescent="0.3">
      <c r="B100" s="10" t="s">
        <v>113</v>
      </c>
      <c r="C100" s="27">
        <f>SUM(F12:F19)</f>
        <v>0</v>
      </c>
      <c r="D100" s="27">
        <f>SUM(F12:F19)</f>
        <v>0</v>
      </c>
      <c r="E100" s="26" t="e">
        <f t="shared" ref="E100:E111" si="5">C100/D$2</f>
        <v>#DIV/0!</v>
      </c>
      <c r="F100" s="26" t="e">
        <f t="shared" ref="F100:F111" si="6">D100/D$2</f>
        <v>#DIV/0!</v>
      </c>
    </row>
    <row r="101" spans="2:6" x14ac:dyDescent="0.3">
      <c r="B101" s="10" t="s">
        <v>0</v>
      </c>
      <c r="C101" s="27">
        <f>F23</f>
        <v>0</v>
      </c>
      <c r="D101" s="27">
        <f>F23</f>
        <v>0</v>
      </c>
      <c r="E101" s="26" t="e">
        <f t="shared" si="5"/>
        <v>#DIV/0!</v>
      </c>
      <c r="F101" s="26" t="e">
        <f t="shared" si="6"/>
        <v>#DIV/0!</v>
      </c>
    </row>
    <row r="102" spans="2:6" x14ac:dyDescent="0.3">
      <c r="B102" s="10" t="s">
        <v>6</v>
      </c>
      <c r="C102" s="27">
        <f>SUM(F25:F29)</f>
        <v>0</v>
      </c>
      <c r="D102" s="27">
        <f>SUM(F25:F28,F30)</f>
        <v>0</v>
      </c>
      <c r="E102" s="26" t="e">
        <f t="shared" si="5"/>
        <v>#DIV/0!</v>
      </c>
      <c r="F102" s="26" t="e">
        <f t="shared" si="6"/>
        <v>#DIV/0!</v>
      </c>
    </row>
    <row r="103" spans="2:6" x14ac:dyDescent="0.3">
      <c r="B103" s="10" t="s">
        <v>33</v>
      </c>
      <c r="C103" s="27">
        <f>SUM(F32:F36)</f>
        <v>0</v>
      </c>
      <c r="D103" s="27">
        <f>SUM(F32:F35,F37)</f>
        <v>0</v>
      </c>
      <c r="E103" s="26" t="e">
        <f t="shared" si="5"/>
        <v>#DIV/0!</v>
      </c>
      <c r="F103" s="26" t="e">
        <f t="shared" si="6"/>
        <v>#DIV/0!</v>
      </c>
    </row>
    <row r="104" spans="2:6" x14ac:dyDescent="0.3">
      <c r="B104" s="10" t="s">
        <v>34</v>
      </c>
      <c r="C104" s="27">
        <f>F38</f>
        <v>0</v>
      </c>
      <c r="D104" s="27">
        <f>F38</f>
        <v>0</v>
      </c>
      <c r="E104" s="26" t="e">
        <f t="shared" si="5"/>
        <v>#DIV/0!</v>
      </c>
      <c r="F104" s="26" t="e">
        <f t="shared" si="6"/>
        <v>#DIV/0!</v>
      </c>
    </row>
    <row r="105" spans="2:6" x14ac:dyDescent="0.3">
      <c r="B105" s="10" t="s">
        <v>14</v>
      </c>
      <c r="C105" s="27">
        <f>SUM(F40:F43)</f>
        <v>0</v>
      </c>
      <c r="D105" s="27">
        <f>SUM(F40:F42,F44)</f>
        <v>0</v>
      </c>
      <c r="E105" s="26" t="e">
        <f t="shared" si="5"/>
        <v>#DIV/0!</v>
      </c>
      <c r="F105" s="26" t="e">
        <f t="shared" si="6"/>
        <v>#DIV/0!</v>
      </c>
    </row>
    <row r="106" spans="2:6" x14ac:dyDescent="0.3">
      <c r="B106" s="10" t="s">
        <v>131</v>
      </c>
      <c r="C106" s="27">
        <f>SUM(F46:F48)</f>
        <v>0</v>
      </c>
      <c r="D106" s="27">
        <f>SUM(F46:F47,F49)</f>
        <v>0</v>
      </c>
      <c r="E106" s="26" t="e">
        <f t="shared" si="5"/>
        <v>#DIV/0!</v>
      </c>
      <c r="F106" s="26" t="e">
        <f t="shared" si="6"/>
        <v>#DIV/0!</v>
      </c>
    </row>
    <row r="107" spans="2:6" x14ac:dyDescent="0.3">
      <c r="B107" s="10" t="s">
        <v>114</v>
      </c>
      <c r="C107" s="27">
        <f>SUM(F60:F61)</f>
        <v>0</v>
      </c>
      <c r="D107" s="27">
        <f>SUM(F60:F61)</f>
        <v>0</v>
      </c>
      <c r="E107" s="26" t="e">
        <f t="shared" si="5"/>
        <v>#DIV/0!</v>
      </c>
      <c r="F107" s="26" t="e">
        <f t="shared" si="6"/>
        <v>#DIV/0!</v>
      </c>
    </row>
    <row r="108" spans="2:6" x14ac:dyDescent="0.3">
      <c r="B108" s="10" t="s">
        <v>115</v>
      </c>
      <c r="C108" s="27">
        <f>SUM(F63:F69)</f>
        <v>0</v>
      </c>
      <c r="D108" s="27">
        <f>SUM(F63:F68,F70)</f>
        <v>0</v>
      </c>
      <c r="E108" s="26" t="e">
        <f t="shared" si="5"/>
        <v>#DIV/0!</v>
      </c>
      <c r="F108" s="26" t="e">
        <f t="shared" si="6"/>
        <v>#DIV/0!</v>
      </c>
    </row>
    <row r="109" spans="2:6" x14ac:dyDescent="0.3">
      <c r="B109" s="10" t="s">
        <v>36</v>
      </c>
      <c r="C109" s="27">
        <f>SUM(F52:F54)</f>
        <v>0</v>
      </c>
      <c r="D109" s="27">
        <f>SUM(F52:F54)</f>
        <v>0</v>
      </c>
      <c r="E109" s="26" t="e">
        <f t="shared" si="5"/>
        <v>#DIV/0!</v>
      </c>
      <c r="F109" s="26" t="e">
        <f t="shared" si="6"/>
        <v>#DIV/0!</v>
      </c>
    </row>
    <row r="110" spans="2:6" x14ac:dyDescent="0.3">
      <c r="B110" s="10" t="s">
        <v>293</v>
      </c>
      <c r="C110" s="27">
        <f>SUM(F55:F57)</f>
        <v>0</v>
      </c>
      <c r="D110" s="27">
        <f>SUM(F55:F57)</f>
        <v>0</v>
      </c>
      <c r="E110" s="26" t="e">
        <f t="shared" si="5"/>
        <v>#DIV/0!</v>
      </c>
      <c r="F110" s="26" t="e">
        <f t="shared" si="6"/>
        <v>#DIV/0!</v>
      </c>
    </row>
    <row r="111" spans="2:6" x14ac:dyDescent="0.3">
      <c r="B111" s="10" t="s">
        <v>35</v>
      </c>
      <c r="C111" s="27">
        <f>F50</f>
        <v>0</v>
      </c>
      <c r="D111" s="27">
        <f>F50</f>
        <v>0</v>
      </c>
      <c r="E111" s="26" t="e">
        <f t="shared" si="5"/>
        <v>#DIV/0!</v>
      </c>
      <c r="F111" s="26" t="e">
        <f t="shared" si="6"/>
        <v>#DIV/0!</v>
      </c>
    </row>
    <row r="112" spans="2:6" x14ac:dyDescent="0.3">
      <c r="B112" s="10" t="s">
        <v>93</v>
      </c>
      <c r="C112" s="27">
        <f>SUM(C98:C111)</f>
        <v>0</v>
      </c>
      <c r="D112" s="27">
        <f>SUM(D98:D111)</f>
        <v>0</v>
      </c>
      <c r="E112" s="26" t="e">
        <f>SUM(E98:E111)</f>
        <v>#DIV/0!</v>
      </c>
      <c r="F112" s="26" t="e">
        <f>D112/D$2</f>
        <v>#DIV/0!</v>
      </c>
    </row>
    <row r="113" spans="2:6" x14ac:dyDescent="0.3">
      <c r="D113" s="27"/>
    </row>
    <row r="114" spans="2:6" x14ac:dyDescent="0.3">
      <c r="B114" s="9" t="s">
        <v>119</v>
      </c>
      <c r="C114" t="s">
        <v>177</v>
      </c>
      <c r="D114" s="27" t="s">
        <v>176</v>
      </c>
      <c r="E114" t="s">
        <v>177</v>
      </c>
      <c r="F114" t="s">
        <v>176</v>
      </c>
    </row>
    <row r="115" spans="2:6" x14ac:dyDescent="0.3">
      <c r="B115" s="10" t="s">
        <v>112</v>
      </c>
      <c r="C115" s="27">
        <f t="shared" ref="C115:D117" si="7">C98/1000</f>
        <v>0</v>
      </c>
      <c r="D115" s="27">
        <f t="shared" si="7"/>
        <v>0</v>
      </c>
      <c r="E115" s="26" t="e">
        <f>C115/D$2*1000</f>
        <v>#DIV/0!</v>
      </c>
      <c r="F115" s="26" t="e">
        <f>D115/D$2*1000</f>
        <v>#DIV/0!</v>
      </c>
    </row>
    <row r="116" spans="2:6" x14ac:dyDescent="0.3">
      <c r="B116" s="10" t="s">
        <v>276</v>
      </c>
      <c r="C116" s="27">
        <f t="shared" si="7"/>
        <v>0</v>
      </c>
      <c r="D116" s="27">
        <f t="shared" si="7"/>
        <v>0</v>
      </c>
      <c r="E116" s="26" t="e">
        <f>C116/D$2*1000</f>
        <v>#DIV/0!</v>
      </c>
      <c r="F116" s="26" t="e">
        <f>D116/D$2*1000</f>
        <v>#DIV/0!</v>
      </c>
    </row>
    <row r="117" spans="2:6" x14ac:dyDescent="0.3">
      <c r="B117" s="10" t="s">
        <v>113</v>
      </c>
      <c r="C117" s="27">
        <f t="shared" si="7"/>
        <v>0</v>
      </c>
      <c r="D117" s="27">
        <f t="shared" si="7"/>
        <v>0</v>
      </c>
      <c r="E117" s="26" t="e">
        <f t="shared" ref="E117:E125" si="8">C117/D$2*1000</f>
        <v>#DIV/0!</v>
      </c>
      <c r="F117" s="26" t="e">
        <f t="shared" ref="F117:F125" si="9">D117/D$2*1000</f>
        <v>#DIV/0!</v>
      </c>
    </row>
    <row r="118" spans="2:6" x14ac:dyDescent="0.3">
      <c r="B118" s="10" t="s">
        <v>205</v>
      </c>
      <c r="C118" s="27">
        <f>SUM(C109:C111,C104)/1000</f>
        <v>0</v>
      </c>
      <c r="D118" s="27">
        <f>SUM(D109:D111,D104)/1000</f>
        <v>0</v>
      </c>
      <c r="E118" s="26" t="e">
        <f t="shared" si="8"/>
        <v>#DIV/0!</v>
      </c>
      <c r="F118" s="26" t="e">
        <f t="shared" si="9"/>
        <v>#DIV/0!</v>
      </c>
    </row>
    <row r="119" spans="2:6" x14ac:dyDescent="0.3">
      <c r="B119" s="10" t="s">
        <v>131</v>
      </c>
      <c r="C119" s="27">
        <f>C106/1000</f>
        <v>0</v>
      </c>
      <c r="D119" s="27">
        <f>D106/1000</f>
        <v>0</v>
      </c>
      <c r="E119" s="26" t="e">
        <f t="shared" si="8"/>
        <v>#DIV/0!</v>
      </c>
      <c r="F119" s="26" t="e">
        <f t="shared" si="9"/>
        <v>#DIV/0!</v>
      </c>
    </row>
    <row r="120" spans="2:6" x14ac:dyDescent="0.3">
      <c r="B120" s="10" t="s">
        <v>14</v>
      </c>
      <c r="C120" s="27">
        <f>C105/1000</f>
        <v>0</v>
      </c>
      <c r="D120" s="27">
        <f>D105/1000</f>
        <v>0</v>
      </c>
      <c r="E120" s="26" t="e">
        <f t="shared" si="8"/>
        <v>#DIV/0!</v>
      </c>
      <c r="F120" s="26" t="e">
        <f t="shared" si="9"/>
        <v>#DIV/0!</v>
      </c>
    </row>
    <row r="121" spans="2:6" x14ac:dyDescent="0.3">
      <c r="B121" s="10" t="s">
        <v>212</v>
      </c>
      <c r="C121" s="27">
        <f>C103/1000</f>
        <v>0</v>
      </c>
      <c r="D121" s="27">
        <f>D103/1000</f>
        <v>0</v>
      </c>
      <c r="E121" s="26"/>
      <c r="F121" s="26"/>
    </row>
    <row r="122" spans="2:6" x14ac:dyDescent="0.3">
      <c r="B122" s="10" t="s">
        <v>65</v>
      </c>
      <c r="C122" s="27">
        <f>C102/1000</f>
        <v>0</v>
      </c>
      <c r="D122" s="27">
        <f>D102/1000</f>
        <v>0</v>
      </c>
      <c r="E122" s="26"/>
      <c r="F122" s="26"/>
    </row>
    <row r="123" spans="2:6" x14ac:dyDescent="0.3">
      <c r="B123" s="10" t="s">
        <v>64</v>
      </c>
      <c r="C123" s="27">
        <f>C101/1000</f>
        <v>0</v>
      </c>
      <c r="D123" s="27">
        <f>D101/1000</f>
        <v>0</v>
      </c>
      <c r="E123" s="26"/>
      <c r="F123" s="26"/>
    </row>
    <row r="124" spans="2:6" x14ac:dyDescent="0.3">
      <c r="B124" s="10" t="s">
        <v>16</v>
      </c>
      <c r="C124" s="27">
        <f>SUM(C107:C108)/1000</f>
        <v>0</v>
      </c>
      <c r="D124" s="27">
        <f>SUM(D107:D108)/1000</f>
        <v>0</v>
      </c>
      <c r="E124" s="26"/>
      <c r="F124" s="26"/>
    </row>
    <row r="125" spans="2:6" x14ac:dyDescent="0.3">
      <c r="B125" s="10" t="s">
        <v>93</v>
      </c>
      <c r="C125" s="27">
        <f>SUM(C115:C124)</f>
        <v>0</v>
      </c>
      <c r="D125" s="27">
        <f>SUM(D115:D124)</f>
        <v>0</v>
      </c>
      <c r="E125" s="26" t="e">
        <f t="shared" si="8"/>
        <v>#DIV/0!</v>
      </c>
      <c r="F125" s="26" t="e">
        <f t="shared" si="9"/>
        <v>#DIV/0!</v>
      </c>
    </row>
  </sheetData>
  <sheetProtection algorithmName="SHA-512" hashValue="YOCTMh+A+u86QBwHFBbgV8v/Jt4dDv2+qQffp9GN1VXukHk96wEu3bkCuV4XGjlOrHtG7CWI0/fPdcPkyW2haQ==" saltValue="tXkuOMPrpinaLswXIbdDrA==" spinCount="100000" sheet="1" objects="1" scenarios="1" select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4"/>
  <dimension ref="B2:W272"/>
  <sheetViews>
    <sheetView showRowColHeaders="0" zoomScaleNormal="100" workbookViewId="0">
      <selection activeCell="C5" sqref="C5"/>
    </sheetView>
  </sheetViews>
  <sheetFormatPr defaultRowHeight="15" x14ac:dyDescent="0.3"/>
  <cols>
    <col min="2" max="2" width="46.7109375" customWidth="1"/>
    <col min="5" max="5" width="10.140625" bestFit="1" customWidth="1"/>
    <col min="11" max="11" width="36.42578125" customWidth="1"/>
    <col min="12" max="13" width="10.85546875" customWidth="1"/>
    <col min="16" max="16" width="10.140625" bestFit="1" customWidth="1"/>
  </cols>
  <sheetData>
    <row r="2" spans="2:4" s="103" customFormat="1" x14ac:dyDescent="0.3">
      <c r="B2" s="103" t="s">
        <v>277</v>
      </c>
    </row>
    <row r="4" spans="2:4" ht="30" x14ac:dyDescent="0.3">
      <c r="B4" s="9" t="s">
        <v>17</v>
      </c>
      <c r="C4" s="7" t="str">
        <f>Achtergrond!L189</f>
        <v>Gewicht (kg)</v>
      </c>
      <c r="D4" s="7" t="s">
        <v>21</v>
      </c>
    </row>
    <row r="5" spans="2:4" x14ac:dyDescent="0.3">
      <c r="B5" s="10" t="s">
        <v>167</v>
      </c>
      <c r="C5" s="64"/>
      <c r="D5" s="65">
        <v>10</v>
      </c>
    </row>
    <row r="6" spans="2:4" x14ac:dyDescent="0.3">
      <c r="B6" s="10" t="s">
        <v>168</v>
      </c>
      <c r="C6" s="64"/>
      <c r="D6" s="65">
        <v>25</v>
      </c>
    </row>
    <row r="7" spans="2:4" x14ac:dyDescent="0.3">
      <c r="B7" s="10" t="s">
        <v>169</v>
      </c>
      <c r="C7" s="64"/>
      <c r="D7" s="65">
        <v>50</v>
      </c>
    </row>
    <row r="8" spans="2:4" x14ac:dyDescent="0.3">
      <c r="B8" s="104" t="s">
        <v>241</v>
      </c>
      <c r="C8" s="69"/>
      <c r="D8" s="69"/>
    </row>
    <row r="9" spans="2:4" x14ac:dyDescent="0.3">
      <c r="B9" s="104" t="s">
        <v>242</v>
      </c>
      <c r="C9" s="69"/>
      <c r="D9" s="69"/>
    </row>
    <row r="11" spans="2:4" x14ac:dyDescent="0.3">
      <c r="B11" s="9" t="s">
        <v>218</v>
      </c>
      <c r="C11" t="str">
        <f>Achtergrond!P198</f>
        <v/>
      </c>
    </row>
    <row r="12" spans="2:4" x14ac:dyDescent="0.3">
      <c r="B12" s="10" t="s">
        <v>25</v>
      </c>
      <c r="C12" s="64">
        <f>5*'2. Transport en voorbewerking'!C7</f>
        <v>0</v>
      </c>
      <c r="D12" t="s">
        <v>224</v>
      </c>
    </row>
    <row r="13" spans="2:4" x14ac:dyDescent="0.3">
      <c r="B13" s="10" t="s">
        <v>141</v>
      </c>
      <c r="C13" s="64">
        <v>0</v>
      </c>
      <c r="D13" t="s">
        <v>224</v>
      </c>
    </row>
    <row r="14" spans="2:4" x14ac:dyDescent="0.3">
      <c r="B14" s="10" t="s">
        <v>26</v>
      </c>
      <c r="C14" s="64">
        <v>0</v>
      </c>
      <c r="D14" t="s">
        <v>224</v>
      </c>
    </row>
    <row r="15" spans="2:4" x14ac:dyDescent="0.3">
      <c r="B15" s="10" t="s">
        <v>27</v>
      </c>
      <c r="C15" s="64">
        <v>0</v>
      </c>
      <c r="D15" t="s">
        <v>224</v>
      </c>
    </row>
    <row r="16" spans="2:4" x14ac:dyDescent="0.3">
      <c r="B16" s="10" t="s">
        <v>28</v>
      </c>
      <c r="C16" s="64">
        <v>0</v>
      </c>
      <c r="D16" t="s">
        <v>224</v>
      </c>
    </row>
    <row r="18" spans="2:7" x14ac:dyDescent="0.3">
      <c r="B18" s="10" t="s">
        <v>29</v>
      </c>
      <c r="C18" s="64">
        <f>3*'2. Transport en voorbewerking'!C7</f>
        <v>0</v>
      </c>
      <c r="D18" t="s">
        <v>225</v>
      </c>
    </row>
    <row r="19" spans="2:7" x14ac:dyDescent="0.3">
      <c r="B19" s="10" t="s">
        <v>30</v>
      </c>
      <c r="C19" s="64">
        <v>0</v>
      </c>
      <c r="D19" t="s">
        <v>226</v>
      </c>
    </row>
    <row r="20" spans="2:7" x14ac:dyDescent="0.3">
      <c r="B20" s="10" t="s">
        <v>315</v>
      </c>
      <c r="C20" s="64">
        <v>0</v>
      </c>
      <c r="D20" t="s">
        <v>226</v>
      </c>
    </row>
    <row r="21" spans="2:7" x14ac:dyDescent="0.3">
      <c r="B21" s="9" t="s">
        <v>273</v>
      </c>
    </row>
    <row r="22" spans="2:7" x14ac:dyDescent="0.3">
      <c r="B22" s="171" t="s">
        <v>264</v>
      </c>
      <c r="C22" s="171"/>
      <c r="D22" s="171"/>
      <c r="E22" s="171"/>
      <c r="F22" s="171"/>
    </row>
    <row r="23" spans="2:7" x14ac:dyDescent="0.3">
      <c r="B23" s="171"/>
      <c r="C23" s="171"/>
      <c r="D23" s="171"/>
      <c r="E23" s="171"/>
      <c r="F23" s="171"/>
    </row>
    <row r="24" spans="2:7" x14ac:dyDescent="0.3">
      <c r="B24" s="105"/>
      <c r="C24" s="105"/>
      <c r="D24" s="105"/>
      <c r="E24" s="105"/>
    </row>
    <row r="25" spans="2:7" x14ac:dyDescent="0.3">
      <c r="D25" s="9" t="s">
        <v>213</v>
      </c>
      <c r="F25" s="9" t="s">
        <v>274</v>
      </c>
    </row>
    <row r="26" spans="2:7" x14ac:dyDescent="0.3">
      <c r="B26" t="s">
        <v>0</v>
      </c>
      <c r="D26" s="69"/>
      <c r="E26" t="str">
        <f>IF(Achtergrond!$E$262, "ton/jaar"," ")</f>
        <v xml:space="preserve"> </v>
      </c>
      <c r="F26">
        <v>150</v>
      </c>
      <c r="G26" t="s">
        <v>278</v>
      </c>
    </row>
    <row r="27" spans="2:7" x14ac:dyDescent="0.3">
      <c r="B27" t="s">
        <v>6</v>
      </c>
      <c r="D27" s="69"/>
      <c r="E27" t="str">
        <f>IF(Achtergrond!$E$262, "ton/jaar"," ")</f>
        <v xml:space="preserve"> </v>
      </c>
      <c r="F27">
        <v>100</v>
      </c>
      <c r="G27" t="s">
        <v>278</v>
      </c>
    </row>
    <row r="28" spans="2:7" x14ac:dyDescent="0.3">
      <c r="B28" t="s">
        <v>33</v>
      </c>
      <c r="D28" s="69"/>
      <c r="E28" t="str">
        <f>IF(Achtergrond!$E$262, "ton/jaar"," ")</f>
        <v xml:space="preserve"> </v>
      </c>
      <c r="F28">
        <v>100</v>
      </c>
      <c r="G28" t="s">
        <v>278</v>
      </c>
    </row>
    <row r="29" spans="2:7" x14ac:dyDescent="0.3">
      <c r="B29" t="s">
        <v>14</v>
      </c>
      <c r="D29" s="69"/>
      <c r="E29" t="str">
        <f>IF(Achtergrond!$E$262, "ton/jaar"," ")</f>
        <v xml:space="preserve"> </v>
      </c>
      <c r="F29">
        <v>25</v>
      </c>
      <c r="G29" t="s">
        <v>278</v>
      </c>
    </row>
    <row r="30" spans="2:7" x14ac:dyDescent="0.3">
      <c r="B30" t="s">
        <v>131</v>
      </c>
      <c r="D30" s="69"/>
      <c r="E30" t="str">
        <f>IF(Achtergrond!$E$262, "ton/jaar"," ")</f>
        <v xml:space="preserve"> </v>
      </c>
      <c r="F30">
        <v>25</v>
      </c>
      <c r="G30" t="s">
        <v>278</v>
      </c>
    </row>
    <row r="31" spans="2:7" x14ac:dyDescent="0.3">
      <c r="B31" t="s">
        <v>16</v>
      </c>
      <c r="D31" s="69"/>
      <c r="E31" t="str">
        <f>IF(Achtergrond!$E$262, "ton/jaar"," ")</f>
        <v xml:space="preserve"> </v>
      </c>
      <c r="F31">
        <v>40</v>
      </c>
      <c r="G31" t="s">
        <v>278</v>
      </c>
    </row>
    <row r="32" spans="2:7" x14ac:dyDescent="0.3">
      <c r="B32" t="s">
        <v>34</v>
      </c>
      <c r="D32" s="69"/>
      <c r="E32" t="str">
        <f>IF(Achtergrond!$E$262, "ton/jaar"," ")</f>
        <v xml:space="preserve"> </v>
      </c>
      <c r="F32">
        <v>25</v>
      </c>
      <c r="G32" t="s">
        <v>278</v>
      </c>
    </row>
    <row r="33" spans="2:7" x14ac:dyDescent="0.3">
      <c r="B33" t="s">
        <v>36</v>
      </c>
      <c r="D33" s="69"/>
      <c r="E33" t="str">
        <f>IF(Achtergrond!$E$262, "ton/jaar"," ")</f>
        <v xml:space="preserve"> </v>
      </c>
      <c r="F33" s="106"/>
      <c r="G33" t="s">
        <v>278</v>
      </c>
    </row>
    <row r="34" spans="2:7" x14ac:dyDescent="0.3">
      <c r="B34" t="s">
        <v>243</v>
      </c>
      <c r="D34" s="69"/>
      <c r="E34" t="str">
        <f>IF(Achtergrond!$E$262, "ton/jaar"," ")</f>
        <v xml:space="preserve"> </v>
      </c>
      <c r="F34">
        <v>50</v>
      </c>
      <c r="G34" t="s">
        <v>278</v>
      </c>
    </row>
    <row r="35" spans="2:7" x14ac:dyDescent="0.3">
      <c r="B35" t="s">
        <v>295</v>
      </c>
      <c r="D35" s="69"/>
      <c r="E35" t="str">
        <f>IF(Achtergrond!$E$262, "ton/jaar"," ")</f>
        <v xml:space="preserve"> </v>
      </c>
      <c r="F35">
        <v>100</v>
      </c>
      <c r="G35" t="s">
        <v>278</v>
      </c>
    </row>
    <row r="36" spans="2:7" x14ac:dyDescent="0.3">
      <c r="B36" t="s">
        <v>35</v>
      </c>
      <c r="D36" s="69"/>
      <c r="E36" t="str">
        <f>IF(Achtergrond!$E$262, "ton/jaar"," ")</f>
        <v xml:space="preserve"> </v>
      </c>
      <c r="F36">
        <v>150</v>
      </c>
      <c r="G36" t="s">
        <v>278</v>
      </c>
    </row>
    <row r="38" spans="2:7" s="103" customFormat="1" x14ac:dyDescent="0.3">
      <c r="B38" s="103" t="s">
        <v>279</v>
      </c>
    </row>
    <row r="40" spans="2:7" x14ac:dyDescent="0.3">
      <c r="B40" s="107" t="s">
        <v>0</v>
      </c>
    </row>
    <row r="41" spans="2:7" x14ac:dyDescent="0.3">
      <c r="B41" s="108" t="s">
        <v>0</v>
      </c>
      <c r="C41" s="118"/>
      <c r="D41" s="109" t="s">
        <v>223</v>
      </c>
    </row>
    <row r="42" spans="2:7" x14ac:dyDescent="0.3">
      <c r="B42" s="108" t="s">
        <v>132</v>
      </c>
      <c r="C42" s="50">
        <v>45</v>
      </c>
      <c r="D42" s="109" t="s">
        <v>5</v>
      </c>
    </row>
    <row r="43" spans="2:7" x14ac:dyDescent="0.3">
      <c r="B43" s="108" t="s">
        <v>1</v>
      </c>
      <c r="C43" s="50">
        <v>9</v>
      </c>
      <c r="D43" s="109" t="s">
        <v>2</v>
      </c>
    </row>
    <row r="44" spans="2:7" x14ac:dyDescent="0.3">
      <c r="B44" s="108" t="s">
        <v>227</v>
      </c>
      <c r="C44" s="72">
        <v>0</v>
      </c>
      <c r="D44" s="109" t="s">
        <v>5</v>
      </c>
      <c r="F44" s="5" t="str">
        <f>IF(cb_hout_bio=TRUE,C44,"")</f>
        <v/>
      </c>
    </row>
    <row r="45" spans="2:7" x14ac:dyDescent="0.3">
      <c r="B45" s="108" t="s">
        <v>228</v>
      </c>
      <c r="C45" s="72">
        <v>31</v>
      </c>
      <c r="D45" s="109" t="s">
        <v>5</v>
      </c>
    </row>
    <row r="46" spans="2:7" x14ac:dyDescent="0.3">
      <c r="B46" s="110" t="s">
        <v>252</v>
      </c>
      <c r="D46" s="109"/>
    </row>
    <row r="47" spans="2:7" x14ac:dyDescent="0.3">
      <c r="B47" s="109"/>
      <c r="D47" s="109"/>
    </row>
    <row r="48" spans="2:7" x14ac:dyDescent="0.3">
      <c r="B48" s="107" t="s">
        <v>6</v>
      </c>
      <c r="D48" s="109"/>
    </row>
    <row r="49" spans="2:9" ht="17.25" x14ac:dyDescent="0.3">
      <c r="B49" s="108" t="s">
        <v>7</v>
      </c>
      <c r="C49" s="50">
        <v>7.6999999999999999E-2</v>
      </c>
      <c r="D49" s="109" t="s">
        <v>236</v>
      </c>
    </row>
    <row r="50" spans="2:9" x14ac:dyDescent="0.3">
      <c r="B50" s="111" t="s">
        <v>253</v>
      </c>
      <c r="D50" s="109"/>
    </row>
    <row r="51" spans="2:9" x14ac:dyDescent="0.3">
      <c r="B51" s="108" t="s">
        <v>262</v>
      </c>
      <c r="C51" s="50" t="str">
        <f>""</f>
        <v/>
      </c>
      <c r="D51" s="109" t="s">
        <v>223</v>
      </c>
      <c r="H51" s="133" t="s">
        <v>291</v>
      </c>
      <c r="I51" s="133" t="s">
        <v>290</v>
      </c>
    </row>
    <row r="52" spans="2:9" ht="17.25" x14ac:dyDescent="0.3">
      <c r="B52" s="112" t="s">
        <v>172</v>
      </c>
      <c r="C52" s="50">
        <v>21.5</v>
      </c>
      <c r="D52" s="109" t="s">
        <v>237</v>
      </c>
    </row>
    <row r="53" spans="2:9" x14ac:dyDescent="0.3">
      <c r="B53" s="112" t="s">
        <v>174</v>
      </c>
      <c r="C53" s="50">
        <v>38</v>
      </c>
      <c r="D53" s="109" t="s">
        <v>5</v>
      </c>
    </row>
    <row r="54" spans="2:9" x14ac:dyDescent="0.3">
      <c r="B54" s="108" t="s">
        <v>134</v>
      </c>
      <c r="C54" s="50" t="str">
        <f>""</f>
        <v/>
      </c>
      <c r="D54" s="109" t="s">
        <v>223</v>
      </c>
      <c r="H54" s="133" t="s">
        <v>291</v>
      </c>
      <c r="I54" s="133" t="s">
        <v>290</v>
      </c>
    </row>
    <row r="55" spans="2:9" x14ac:dyDescent="0.3">
      <c r="B55" s="112" t="s">
        <v>175</v>
      </c>
      <c r="C55" s="50">
        <v>0.6</v>
      </c>
      <c r="D55" s="109"/>
    </row>
    <row r="56" spans="2:9" x14ac:dyDescent="0.3">
      <c r="B56" s="109"/>
      <c r="D56" s="109"/>
    </row>
    <row r="57" spans="2:9" x14ac:dyDescent="0.3">
      <c r="B57" s="107" t="s">
        <v>8</v>
      </c>
      <c r="D57" s="109"/>
    </row>
    <row r="58" spans="2:9" ht="17.25" x14ac:dyDescent="0.3">
      <c r="B58" s="108" t="s">
        <v>9</v>
      </c>
      <c r="C58" s="50">
        <v>4.2999999999999997E-2</v>
      </c>
      <c r="D58" s="109" t="s">
        <v>236</v>
      </c>
    </row>
    <row r="59" spans="2:9" x14ac:dyDescent="0.3">
      <c r="B59" s="111" t="s">
        <v>253</v>
      </c>
      <c r="D59" s="109"/>
    </row>
    <row r="60" spans="2:9" x14ac:dyDescent="0.3">
      <c r="B60" s="108" t="s">
        <v>263</v>
      </c>
      <c r="C60" s="50" t="str">
        <f>""</f>
        <v/>
      </c>
      <c r="D60" s="109" t="s">
        <v>223</v>
      </c>
      <c r="H60" s="133" t="s">
        <v>291</v>
      </c>
      <c r="I60" s="133" t="s">
        <v>292</v>
      </c>
    </row>
    <row r="61" spans="2:9" ht="17.25" x14ac:dyDescent="0.3">
      <c r="B61" s="112" t="s">
        <v>172</v>
      </c>
      <c r="C61" s="50">
        <v>21.5</v>
      </c>
      <c r="D61" s="109" t="s">
        <v>237</v>
      </c>
    </row>
    <row r="62" spans="2:9" x14ac:dyDescent="0.3">
      <c r="B62" s="112" t="s">
        <v>174</v>
      </c>
      <c r="C62" s="50">
        <v>38</v>
      </c>
      <c r="D62" s="109" t="s">
        <v>5</v>
      </c>
    </row>
    <row r="63" spans="2:9" x14ac:dyDescent="0.3">
      <c r="B63" s="108" t="s">
        <v>134</v>
      </c>
      <c r="C63" s="50" t="str">
        <f>""</f>
        <v/>
      </c>
      <c r="D63" s="109" t="s">
        <v>223</v>
      </c>
      <c r="H63" s="133" t="s">
        <v>291</v>
      </c>
      <c r="I63" s="133" t="s">
        <v>292</v>
      </c>
    </row>
    <row r="64" spans="2:9" x14ac:dyDescent="0.3">
      <c r="B64" s="112" t="s">
        <v>175</v>
      </c>
      <c r="C64" s="50">
        <v>0.6</v>
      </c>
      <c r="D64" s="109"/>
    </row>
    <row r="65" spans="2:4" x14ac:dyDescent="0.3">
      <c r="B65" s="107"/>
      <c r="D65" s="109"/>
    </row>
    <row r="66" spans="2:4" x14ac:dyDescent="0.3">
      <c r="B66" s="107" t="s">
        <v>12</v>
      </c>
      <c r="D66" s="109"/>
    </row>
    <row r="67" spans="2:4" x14ac:dyDescent="0.3">
      <c r="B67" s="108" t="s">
        <v>13</v>
      </c>
      <c r="C67" s="118"/>
      <c r="D67" s="109" t="s">
        <v>223</v>
      </c>
    </row>
    <row r="68" spans="2:4" x14ac:dyDescent="0.3">
      <c r="B68" s="109"/>
      <c r="D68" s="109"/>
    </row>
    <row r="69" spans="2:4" x14ac:dyDescent="0.3">
      <c r="B69" s="107" t="s">
        <v>14</v>
      </c>
      <c r="D69" s="109"/>
    </row>
    <row r="70" spans="2:4" x14ac:dyDescent="0.3">
      <c r="B70" s="108" t="s">
        <v>15</v>
      </c>
      <c r="C70" s="118"/>
      <c r="D70" s="109" t="s">
        <v>223</v>
      </c>
    </row>
    <row r="71" spans="2:4" x14ac:dyDescent="0.3">
      <c r="B71" s="108"/>
      <c r="D71" s="109"/>
    </row>
    <row r="72" spans="2:4" x14ac:dyDescent="0.3">
      <c r="B72" s="113" t="s">
        <v>131</v>
      </c>
      <c r="D72" s="109"/>
    </row>
    <row r="73" spans="2:4" x14ac:dyDescent="0.3">
      <c r="B73" s="108" t="s">
        <v>161</v>
      </c>
      <c r="C73" s="118"/>
      <c r="D73" s="109" t="s">
        <v>223</v>
      </c>
    </row>
    <row r="74" spans="2:4" x14ac:dyDescent="0.3">
      <c r="B74" s="108"/>
      <c r="D74" s="109"/>
    </row>
    <row r="75" spans="2:4" x14ac:dyDescent="0.3">
      <c r="B75" s="113" t="s">
        <v>36</v>
      </c>
      <c r="D75" s="109"/>
    </row>
    <row r="76" spans="2:4" ht="17.25" x14ac:dyDescent="0.3">
      <c r="B76" s="108" t="s">
        <v>296</v>
      </c>
      <c r="C76" s="19"/>
      <c r="D76" s="109" t="s">
        <v>245</v>
      </c>
    </row>
    <row r="77" spans="2:4" ht="17.25" x14ac:dyDescent="0.3">
      <c r="B77" s="108" t="s">
        <v>297</v>
      </c>
      <c r="C77" s="19"/>
      <c r="D77" s="109" t="s">
        <v>245</v>
      </c>
    </row>
    <row r="78" spans="2:4" x14ac:dyDescent="0.3">
      <c r="B78" s="112" t="s">
        <v>298</v>
      </c>
      <c r="C78" s="19">
        <v>50</v>
      </c>
      <c r="D78" s="109" t="s">
        <v>278</v>
      </c>
    </row>
    <row r="79" spans="2:4" x14ac:dyDescent="0.3">
      <c r="B79" s="108"/>
      <c r="D79" s="109"/>
    </row>
    <row r="80" spans="2:4" x14ac:dyDescent="0.3">
      <c r="B80" s="113" t="s">
        <v>243</v>
      </c>
      <c r="D80" s="109"/>
    </row>
    <row r="81" spans="2:8" x14ac:dyDescent="0.3">
      <c r="B81" s="108" t="s">
        <v>244</v>
      </c>
      <c r="C81" s="118">
        <f>cell_residu</f>
        <v>0</v>
      </c>
      <c r="D81" s="109" t="s">
        <v>223</v>
      </c>
    </row>
    <row r="82" spans="2:8" x14ac:dyDescent="0.3">
      <c r="B82" s="108" t="s">
        <v>57</v>
      </c>
      <c r="C82" s="118">
        <v>0</v>
      </c>
      <c r="D82" s="109" t="s">
        <v>223</v>
      </c>
    </row>
    <row r="83" spans="2:8" x14ac:dyDescent="0.3">
      <c r="B83" s="109"/>
      <c r="D83" s="109"/>
    </row>
    <row r="84" spans="2:8" x14ac:dyDescent="0.3">
      <c r="B84" s="107" t="s">
        <v>16</v>
      </c>
      <c r="D84" s="109"/>
    </row>
    <row r="85" spans="2:8" x14ac:dyDescent="0.3">
      <c r="B85" s="108" t="s">
        <v>38</v>
      </c>
      <c r="C85" s="118"/>
      <c r="D85" s="116" t="s">
        <v>118</v>
      </c>
    </row>
    <row r="86" spans="2:8" x14ac:dyDescent="0.3">
      <c r="B86" s="108" t="s">
        <v>39</v>
      </c>
      <c r="C86" s="114">
        <v>50</v>
      </c>
      <c r="D86" s="116" t="s">
        <v>5</v>
      </c>
      <c r="H86" t="s">
        <v>305</v>
      </c>
    </row>
    <row r="87" spans="2:8" x14ac:dyDescent="0.3">
      <c r="B87" s="108"/>
      <c r="C87" t="str">
        <f>""</f>
        <v/>
      </c>
      <c r="D87" s="116"/>
    </row>
    <row r="88" spans="2:8" x14ac:dyDescent="0.3">
      <c r="B88" s="108" t="s">
        <v>246</v>
      </c>
      <c r="C88" s="115">
        <v>60</v>
      </c>
      <c r="D88" s="116" t="s">
        <v>5</v>
      </c>
    </row>
    <row r="89" spans="2:8" x14ac:dyDescent="0.3">
      <c r="B89" s="108" t="s">
        <v>98</v>
      </c>
      <c r="C89" s="64">
        <v>600</v>
      </c>
      <c r="D89" s="116" t="s">
        <v>99</v>
      </c>
    </row>
    <row r="90" spans="2:8" x14ac:dyDescent="0.3">
      <c r="B90" s="108" t="s">
        <v>247</v>
      </c>
      <c r="C90" s="64">
        <v>5</v>
      </c>
      <c r="D90" s="116" t="s">
        <v>42</v>
      </c>
    </row>
    <row r="91" spans="2:8" x14ac:dyDescent="0.3">
      <c r="B91" s="108" t="s">
        <v>248</v>
      </c>
      <c r="C91" s="64">
        <v>3</v>
      </c>
      <c r="D91" s="116" t="s">
        <v>44</v>
      </c>
    </row>
    <row r="92" spans="2:8" x14ac:dyDescent="0.3">
      <c r="B92" s="108" t="s">
        <v>249</v>
      </c>
      <c r="C92" s="64">
        <v>5</v>
      </c>
      <c r="D92" s="116" t="s">
        <v>46</v>
      </c>
    </row>
    <row r="93" spans="2:8" x14ac:dyDescent="0.3">
      <c r="B93" s="108" t="s">
        <v>250</v>
      </c>
      <c r="C93" s="64">
        <v>100</v>
      </c>
      <c r="D93" s="116" t="s">
        <v>48</v>
      </c>
    </row>
    <row r="94" spans="2:8" x14ac:dyDescent="0.3">
      <c r="B94" s="111" t="s">
        <v>251</v>
      </c>
      <c r="C94" t="str">
        <f>""</f>
        <v/>
      </c>
      <c r="D94" s="116"/>
    </row>
    <row r="95" spans="2:8" x14ac:dyDescent="0.3">
      <c r="B95" s="108"/>
    </row>
    <row r="96" spans="2:8" x14ac:dyDescent="0.3">
      <c r="B96" s="113" t="s">
        <v>49</v>
      </c>
      <c r="C96" s="116" t="s">
        <v>20</v>
      </c>
      <c r="D96" s="116" t="s">
        <v>180</v>
      </c>
    </row>
    <row r="97" spans="2:4" x14ac:dyDescent="0.3">
      <c r="B97" s="108" t="s">
        <v>18</v>
      </c>
      <c r="C97" s="64">
        <f>C86</f>
        <v>50</v>
      </c>
      <c r="D97" s="117">
        <v>100</v>
      </c>
    </row>
    <row r="98" spans="2:4" x14ac:dyDescent="0.3">
      <c r="B98" s="109"/>
      <c r="C98" t="str">
        <f>""</f>
        <v/>
      </c>
      <c r="D98" s="116"/>
    </row>
    <row r="99" spans="2:4" x14ac:dyDescent="0.3">
      <c r="B99" s="107" t="s">
        <v>267</v>
      </c>
      <c r="D99" s="116"/>
    </row>
    <row r="100" spans="2:4" x14ac:dyDescent="0.3">
      <c r="B100" s="108" t="s">
        <v>51</v>
      </c>
      <c r="C100" s="70">
        <v>0</v>
      </c>
      <c r="D100" s="116" t="s">
        <v>5</v>
      </c>
    </row>
    <row r="101" spans="2:4" x14ac:dyDescent="0.3">
      <c r="B101" s="111" t="s">
        <v>268</v>
      </c>
      <c r="C101" s="28"/>
      <c r="D101" s="116"/>
    </row>
    <row r="102" spans="2:4" x14ac:dyDescent="0.3">
      <c r="B102" s="108" t="s">
        <v>52</v>
      </c>
      <c r="C102" s="70">
        <f>Achtergrond!P214</f>
        <v>0</v>
      </c>
      <c r="D102" s="116" t="s">
        <v>5</v>
      </c>
    </row>
    <row r="103" spans="2:4" x14ac:dyDescent="0.3">
      <c r="B103" s="108" t="s">
        <v>53</v>
      </c>
      <c r="C103" s="70">
        <f>Achtergrond!P215</f>
        <v>0</v>
      </c>
      <c r="D103" s="116" t="s">
        <v>5</v>
      </c>
    </row>
    <row r="104" spans="2:4" x14ac:dyDescent="0.3">
      <c r="B104" s="108" t="s">
        <v>269</v>
      </c>
      <c r="C104" s="70">
        <f>Achtergrond!P216</f>
        <v>0</v>
      </c>
      <c r="D104" s="116" t="s">
        <v>5</v>
      </c>
    </row>
    <row r="105" spans="2:4" x14ac:dyDescent="0.3">
      <c r="B105" s="111" t="s">
        <v>270</v>
      </c>
      <c r="C105" s="109"/>
      <c r="D105" s="116"/>
    </row>
    <row r="106" spans="2:4" x14ac:dyDescent="0.3">
      <c r="B106" s="108" t="s">
        <v>272</v>
      </c>
      <c r="C106" s="70">
        <f>1-SUM('3. Bewerking'!C63,'3. Bewerking'!C65:C69)</f>
        <v>1</v>
      </c>
      <c r="D106" s="116" t="s">
        <v>5</v>
      </c>
    </row>
    <row r="107" spans="2:4" x14ac:dyDescent="0.3">
      <c r="B107" s="111" t="s">
        <v>271</v>
      </c>
      <c r="D107" s="116"/>
    </row>
    <row r="134" spans="3:23" ht="16.5" x14ac:dyDescent="0.3">
      <c r="K134" s="37" t="s">
        <v>166</v>
      </c>
      <c r="P134" s="37" t="s">
        <v>164</v>
      </c>
      <c r="V134" s="37" t="s">
        <v>165</v>
      </c>
    </row>
    <row r="136" spans="3:23" x14ac:dyDescent="0.3">
      <c r="K136" s="16" t="s">
        <v>0</v>
      </c>
      <c r="L136" s="50" t="str">
        <f>IF(Achtergrond!E262,'2. Transport en voorbewerking'!D33,"")</f>
        <v/>
      </c>
      <c r="M136" s="33" t="s">
        <v>118</v>
      </c>
      <c r="P136" s="50" t="str">
        <f>IF(Achtergrond!E262,'2. Transport en voorbewerking'!D33,"")</f>
        <v/>
      </c>
      <c r="Q136" s="33" t="s">
        <v>118</v>
      </c>
      <c r="V136" s="19">
        <f>IF('3. Bewerking'!C8="",0,'3. Bewerking'!C8)</f>
        <v>0</v>
      </c>
      <c r="W136" s="33" t="s">
        <v>118</v>
      </c>
    </row>
    <row r="137" spans="3:23" x14ac:dyDescent="0.3">
      <c r="K137" s="32" t="s">
        <v>132</v>
      </c>
      <c r="L137" s="50" t="str">
        <f>IF(Achtergrond!E262,45,"")</f>
        <v/>
      </c>
      <c r="M137" s="33" t="s">
        <v>5</v>
      </c>
      <c r="P137" s="50" t="str">
        <f>""</f>
        <v/>
      </c>
      <c r="Q137" s="33" t="s">
        <v>5</v>
      </c>
      <c r="V137" s="19">
        <f>IF('3. Bewerking'!C9="",0,'3. Bewerking'!C9)</f>
        <v>0</v>
      </c>
      <c r="W137" s="33" t="s">
        <v>5</v>
      </c>
    </row>
    <row r="138" spans="3:23" x14ac:dyDescent="0.3">
      <c r="K138" s="32" t="s">
        <v>1</v>
      </c>
      <c r="L138" s="50" t="str">
        <f>IF(Achtergrond!E262,9,"")</f>
        <v/>
      </c>
      <c r="M138" s="33" t="s">
        <v>2</v>
      </c>
      <c r="P138" s="50" t="str">
        <f>IF(Achtergrond!E262,(IF('3. Bewerking'!C9="","",18.29-(0.207*'3. Bewerking'!C9/100))),"")</f>
        <v/>
      </c>
      <c r="Q138" s="33" t="s">
        <v>2</v>
      </c>
      <c r="V138" s="19">
        <f>IF('3. Bewerking'!C10="",0,'3. Bewerking'!C10)</f>
        <v>0</v>
      </c>
      <c r="W138" s="33" t="s">
        <v>2</v>
      </c>
    </row>
    <row r="139" spans="3:23" x14ac:dyDescent="0.3">
      <c r="K139" s="32" t="s">
        <v>3</v>
      </c>
      <c r="L139" s="70" t="str">
        <f>IF(Achtergrond!E262,0,"")</f>
        <v/>
      </c>
      <c r="M139" s="33" t="s">
        <v>5</v>
      </c>
      <c r="P139" s="50" t="str">
        <f>""</f>
        <v/>
      </c>
      <c r="Q139" s="33" t="s">
        <v>5</v>
      </c>
      <c r="V139" s="19">
        <f>IF('3. Bewerking'!C11="",0,'3. Bewerking'!C11/100)</f>
        <v>0</v>
      </c>
      <c r="W139" s="33" t="s">
        <v>5</v>
      </c>
    </row>
    <row r="140" spans="3:23" x14ac:dyDescent="0.3">
      <c r="C140" s="8"/>
      <c r="K140" s="32" t="s">
        <v>4</v>
      </c>
      <c r="L140" s="70" t="str">
        <f>IF(Achtergrond!E262,0.31,"")</f>
        <v/>
      </c>
      <c r="M140" s="33" t="s">
        <v>5</v>
      </c>
      <c r="P140" s="50" t="str">
        <f>""</f>
        <v/>
      </c>
      <c r="Q140" s="33" t="s">
        <v>5</v>
      </c>
      <c r="V140" s="19">
        <f>IF('3. Bewerking'!C12="",0,'3. Bewerking'!C12/100)</f>
        <v>0</v>
      </c>
      <c r="W140" s="33" t="s">
        <v>5</v>
      </c>
    </row>
    <row r="141" spans="3:23" x14ac:dyDescent="0.3">
      <c r="K141" s="33"/>
      <c r="L141" s="1" t="str">
        <f>""</f>
        <v/>
      </c>
      <c r="M141" s="33"/>
      <c r="P141" s="1" t="s">
        <v>163</v>
      </c>
      <c r="Q141" s="33"/>
      <c r="V141" s="1" t="s">
        <v>163</v>
      </c>
      <c r="W141" s="33"/>
    </row>
    <row r="142" spans="3:23" x14ac:dyDescent="0.3">
      <c r="K142" s="34" t="s">
        <v>6</v>
      </c>
      <c r="L142" s="1" t="str">
        <f>""</f>
        <v/>
      </c>
      <c r="M142" s="33"/>
      <c r="P142" s="1" t="s">
        <v>163</v>
      </c>
      <c r="Q142" s="33"/>
      <c r="V142" s="1" t="s">
        <v>163</v>
      </c>
      <c r="W142" s="33"/>
    </row>
    <row r="143" spans="3:23" x14ac:dyDescent="0.3">
      <c r="K143" s="32" t="s">
        <v>7</v>
      </c>
      <c r="L143" s="50" t="str">
        <f>IF(Achtergrond!E263,0.077,"")</f>
        <v/>
      </c>
      <c r="M143" s="33" t="s">
        <v>135</v>
      </c>
      <c r="P143" s="50" t="str">
        <f>""</f>
        <v/>
      </c>
      <c r="Q143" s="33" t="s">
        <v>135</v>
      </c>
      <c r="V143" s="19">
        <f>IF('3. Bewerking'!C16="",0,'3. Bewerking'!C16)</f>
        <v>0</v>
      </c>
      <c r="W143" s="33" t="s">
        <v>135</v>
      </c>
    </row>
    <row r="144" spans="3:23" x14ac:dyDescent="0.3">
      <c r="K144" s="32"/>
      <c r="L144" s="51"/>
      <c r="M144" s="33"/>
      <c r="P144" s="51"/>
      <c r="Q144" s="33"/>
      <c r="V144" s="1"/>
      <c r="W144" s="33"/>
    </row>
    <row r="145" spans="11:23" x14ac:dyDescent="0.3">
      <c r="K145" s="32" t="s">
        <v>133</v>
      </c>
      <c r="L145" s="50" t="str">
        <f>IF(Achtergrond!E263,0.5*'2. Transport en voorbewerking'!D34,"")</f>
        <v/>
      </c>
      <c r="M145" s="33" t="s">
        <v>118</v>
      </c>
      <c r="P145" s="50" t="str">
        <f>""</f>
        <v/>
      </c>
      <c r="Q145" s="33" t="s">
        <v>118</v>
      </c>
      <c r="V145" s="19">
        <f>IF('3. Bewerking'!C18="",0,'3. Bewerking'!C18)</f>
        <v>0</v>
      </c>
      <c r="W145" s="33" t="s">
        <v>118</v>
      </c>
    </row>
    <row r="146" spans="11:23" x14ac:dyDescent="0.3">
      <c r="K146" s="38" t="s">
        <v>172</v>
      </c>
      <c r="L146" s="50" t="str">
        <f>IF(Achtergrond!E263,21.5,"")</f>
        <v/>
      </c>
      <c r="M146" s="17" t="s">
        <v>173</v>
      </c>
      <c r="P146" s="50" t="str">
        <f>""</f>
        <v/>
      </c>
      <c r="Q146" s="33"/>
      <c r="V146" s="19">
        <f>IF('3. Bewerking'!C19="",0,'3. Bewerking'!C19)</f>
        <v>0</v>
      </c>
      <c r="W146" s="33"/>
    </row>
    <row r="147" spans="11:23" x14ac:dyDescent="0.3">
      <c r="K147" s="38" t="s">
        <v>174</v>
      </c>
      <c r="L147" s="50" t="str">
        <f>IF(Achtergrond!E263,38,"")</f>
        <v/>
      </c>
      <c r="M147" s="17" t="s">
        <v>5</v>
      </c>
      <c r="P147" s="50" t="str">
        <f>""</f>
        <v/>
      </c>
      <c r="Q147" s="33"/>
      <c r="V147" s="19">
        <f>IF('3. Bewerking'!C20="",0,'3. Bewerking'!C20)</f>
        <v>0</v>
      </c>
      <c r="W147" s="33" t="s">
        <v>5</v>
      </c>
    </row>
    <row r="148" spans="11:23" x14ac:dyDescent="0.3">
      <c r="K148" s="32" t="s">
        <v>134</v>
      </c>
      <c r="L148" s="50" t="str">
        <f>IF(Achtergrond!E263,0.5*'2. Transport en voorbewerking'!D34,"")</f>
        <v/>
      </c>
      <c r="M148" s="33" t="s">
        <v>118</v>
      </c>
      <c r="P148" s="50" t="str">
        <f>""</f>
        <v/>
      </c>
      <c r="Q148" s="33" t="s">
        <v>118</v>
      </c>
      <c r="V148" s="19">
        <f>IF('3. Bewerking'!C21="",0,'3. Bewerking'!C21)</f>
        <v>0</v>
      </c>
      <c r="W148" s="33" t="s">
        <v>118</v>
      </c>
    </row>
    <row r="149" spans="11:23" x14ac:dyDescent="0.3">
      <c r="K149" s="38" t="s">
        <v>175</v>
      </c>
      <c r="L149" s="50" t="str">
        <f>IF(Achtergrond!E263,0.6,"")</f>
        <v/>
      </c>
      <c r="M149" s="33"/>
      <c r="P149" s="50" t="str">
        <f>""</f>
        <v/>
      </c>
      <c r="Q149" s="33"/>
      <c r="V149" s="19">
        <f>IF('3. Bewerking'!C22="",0,'3. Bewerking'!C22)</f>
        <v>0</v>
      </c>
      <c r="W149" s="33"/>
    </row>
    <row r="150" spans="11:23" x14ac:dyDescent="0.3">
      <c r="K150" s="33"/>
      <c r="L150" s="1" t="str">
        <f>""</f>
        <v/>
      </c>
      <c r="M150" s="33"/>
      <c r="P150" s="1" t="s">
        <v>163</v>
      </c>
      <c r="Q150" s="33"/>
      <c r="V150" s="1" t="s">
        <v>163</v>
      </c>
      <c r="W150" s="33"/>
    </row>
    <row r="151" spans="11:23" x14ac:dyDescent="0.3">
      <c r="K151" s="34" t="s">
        <v>8</v>
      </c>
      <c r="L151" s="1" t="str">
        <f>""</f>
        <v/>
      </c>
      <c r="M151" s="33"/>
      <c r="P151" s="1" t="s">
        <v>163</v>
      </c>
      <c r="Q151" s="33"/>
      <c r="V151" s="1" t="s">
        <v>163</v>
      </c>
      <c r="W151" s="33"/>
    </row>
    <row r="152" spans="11:23" x14ac:dyDescent="0.3">
      <c r="K152" s="32" t="s">
        <v>9</v>
      </c>
      <c r="L152" s="50" t="str">
        <f>IF(Achtergrond!E264,0.043,"")</f>
        <v/>
      </c>
      <c r="M152" s="33" t="s">
        <v>135</v>
      </c>
      <c r="P152" s="50" t="str">
        <f>""</f>
        <v/>
      </c>
      <c r="Q152" s="33" t="s">
        <v>135</v>
      </c>
      <c r="V152" s="19">
        <f>IF('3. Bewerking'!C25="",0,'3. Bewerking'!C25)</f>
        <v>0</v>
      </c>
      <c r="W152" s="33" t="s">
        <v>135</v>
      </c>
    </row>
    <row r="153" spans="11:23" x14ac:dyDescent="0.3">
      <c r="K153" s="32"/>
      <c r="L153" s="51"/>
      <c r="M153" s="33"/>
      <c r="P153" s="51"/>
      <c r="Q153" s="33"/>
      <c r="V153" s="1"/>
      <c r="W153" s="33"/>
    </row>
    <row r="154" spans="11:23" x14ac:dyDescent="0.3">
      <c r="K154" s="32" t="s">
        <v>133</v>
      </c>
      <c r="L154" s="50" t="str">
        <f>IF(Achtergrond!E264,0.5*'2. Transport en voorbewerking'!D35,"")</f>
        <v/>
      </c>
      <c r="M154" s="33" t="s">
        <v>118</v>
      </c>
      <c r="P154" s="50" t="str">
        <f>""</f>
        <v/>
      </c>
      <c r="Q154" s="33" t="s">
        <v>118</v>
      </c>
      <c r="V154" s="19">
        <f>IF('3. Bewerking'!C27="",0,'3. Bewerking'!C27)</f>
        <v>0</v>
      </c>
      <c r="W154" s="33" t="s">
        <v>118</v>
      </c>
    </row>
    <row r="155" spans="11:23" x14ac:dyDescent="0.3">
      <c r="K155" s="38" t="s">
        <v>172</v>
      </c>
      <c r="L155" s="50" t="str">
        <f>IF(Achtergrond!E264,21.5,"")</f>
        <v/>
      </c>
      <c r="M155" s="17" t="s">
        <v>173</v>
      </c>
      <c r="P155" s="50" t="str">
        <f>""</f>
        <v/>
      </c>
      <c r="Q155" s="33"/>
      <c r="V155" s="19">
        <f>IF('3. Bewerking'!C28="",0,'3. Bewerking'!C28)</f>
        <v>0</v>
      </c>
      <c r="W155" s="33"/>
    </row>
    <row r="156" spans="11:23" x14ac:dyDescent="0.3">
      <c r="K156" s="38" t="s">
        <v>174</v>
      </c>
      <c r="L156" s="50" t="str">
        <f>IF(Achtergrond!E264,38,"")</f>
        <v/>
      </c>
      <c r="M156" s="17" t="s">
        <v>5</v>
      </c>
      <c r="P156" s="50" t="str">
        <f>""</f>
        <v/>
      </c>
      <c r="Q156" s="33"/>
      <c r="V156" s="19">
        <f>IF('3. Bewerking'!C29="",0,'3. Bewerking'!C29)</f>
        <v>0</v>
      </c>
      <c r="W156" s="33" t="s">
        <v>5</v>
      </c>
    </row>
    <row r="157" spans="11:23" x14ac:dyDescent="0.3">
      <c r="K157" s="32" t="s">
        <v>134</v>
      </c>
      <c r="L157" s="50" t="str">
        <f>IF(Achtergrond!E264,0.5*'2. Transport en voorbewerking'!D35,"")</f>
        <v/>
      </c>
      <c r="M157" s="33" t="s">
        <v>118</v>
      </c>
      <c r="P157" s="50" t="str">
        <f>""</f>
        <v/>
      </c>
      <c r="Q157" s="33" t="s">
        <v>118</v>
      </c>
      <c r="V157" s="19">
        <f>IF('3. Bewerking'!C30="",0,'3. Bewerking'!C30)</f>
        <v>0</v>
      </c>
      <c r="W157" s="33" t="s">
        <v>118</v>
      </c>
    </row>
    <row r="158" spans="11:23" x14ac:dyDescent="0.3">
      <c r="K158" s="38" t="s">
        <v>175</v>
      </c>
      <c r="L158" s="50" t="str">
        <f>IF(Achtergrond!E264,0.6,"")</f>
        <v/>
      </c>
      <c r="M158" s="33"/>
      <c r="P158" s="50" t="str">
        <f>""</f>
        <v/>
      </c>
      <c r="Q158" s="33"/>
      <c r="V158" s="19">
        <f>IF('3. Bewerking'!C31="",0,'3. Bewerking'!C31)</f>
        <v>0</v>
      </c>
      <c r="W158" s="33"/>
    </row>
    <row r="159" spans="11:23" x14ac:dyDescent="0.3">
      <c r="K159" s="34"/>
      <c r="L159" s="1" t="str">
        <f>""</f>
        <v/>
      </c>
      <c r="M159" s="33"/>
      <c r="P159" s="1" t="s">
        <v>163</v>
      </c>
      <c r="Q159" s="33"/>
      <c r="V159" s="1" t="s">
        <v>163</v>
      </c>
      <c r="W159" s="33"/>
    </row>
    <row r="160" spans="11:23" x14ac:dyDescent="0.3">
      <c r="K160" s="34" t="s">
        <v>12</v>
      </c>
      <c r="L160" s="1" t="str">
        <f>""</f>
        <v/>
      </c>
      <c r="M160" s="33"/>
      <c r="P160" s="1" t="s">
        <v>163</v>
      </c>
      <c r="Q160" s="33"/>
      <c r="V160" s="1" t="s">
        <v>163</v>
      </c>
      <c r="W160" s="33"/>
    </row>
    <row r="161" spans="11:23" x14ac:dyDescent="0.3">
      <c r="K161" s="32" t="s">
        <v>13</v>
      </c>
      <c r="L161" s="50" t="str">
        <f>IF(Achtergrond!E268,'2. Transport en voorbewerking'!D40,"")</f>
        <v/>
      </c>
      <c r="M161" s="33" t="s">
        <v>118</v>
      </c>
      <c r="P161" s="50" t="str">
        <f>IF(Achtergrond!E268,'2. Transport en voorbewerking'!D40,"")</f>
        <v/>
      </c>
      <c r="Q161" s="33" t="s">
        <v>118</v>
      </c>
      <c r="V161" s="19">
        <f>IF('3. Bewerking'!C34="",0,'3. Bewerking'!C34)</f>
        <v>0</v>
      </c>
      <c r="W161" s="33" t="s">
        <v>118</v>
      </c>
    </row>
    <row r="162" spans="11:23" x14ac:dyDescent="0.3">
      <c r="K162" s="33"/>
      <c r="L162" s="1" t="str">
        <f>""</f>
        <v/>
      </c>
      <c r="M162" s="33"/>
      <c r="P162" s="1" t="s">
        <v>163</v>
      </c>
      <c r="Q162" s="33"/>
      <c r="V162" s="1" t="s">
        <v>163</v>
      </c>
      <c r="W162" s="33"/>
    </row>
    <row r="163" spans="11:23" x14ac:dyDescent="0.3">
      <c r="K163" s="34" t="s">
        <v>14</v>
      </c>
      <c r="L163" s="1" t="str">
        <f>""</f>
        <v/>
      </c>
      <c r="M163" s="33"/>
      <c r="P163" s="1" t="s">
        <v>163</v>
      </c>
      <c r="Q163" s="33"/>
      <c r="V163" s="1" t="s">
        <v>163</v>
      </c>
      <c r="W163" s="33"/>
    </row>
    <row r="164" spans="11:23" x14ac:dyDescent="0.3">
      <c r="K164" s="32" t="s">
        <v>15</v>
      </c>
      <c r="L164" s="50" t="str">
        <f>IF(Achtergrond!E265,'2. Transport en voorbewerking'!D36,"")</f>
        <v/>
      </c>
      <c r="M164" s="33" t="s">
        <v>118</v>
      </c>
      <c r="P164" s="50" t="str">
        <f>IF(Achtergrond!E265,'2. Transport en voorbewerking'!D36,"")</f>
        <v/>
      </c>
      <c r="Q164" s="33" t="s">
        <v>118</v>
      </c>
      <c r="V164" s="19">
        <f>IF('3. Bewerking'!C37="",0,'3. Bewerking'!C37)</f>
        <v>0</v>
      </c>
      <c r="W164" s="33" t="s">
        <v>118</v>
      </c>
    </row>
    <row r="165" spans="11:23" x14ac:dyDescent="0.3">
      <c r="K165" s="32"/>
      <c r="L165" s="1" t="str">
        <f>""</f>
        <v/>
      </c>
      <c r="M165" s="33"/>
      <c r="P165" s="1" t="s">
        <v>163</v>
      </c>
      <c r="Q165" s="33"/>
      <c r="V165" s="1" t="s">
        <v>163</v>
      </c>
      <c r="W165" s="33"/>
    </row>
    <row r="166" spans="11:23" x14ac:dyDescent="0.3">
      <c r="K166" s="31" t="s">
        <v>131</v>
      </c>
      <c r="L166" s="1" t="str">
        <f>""</f>
        <v/>
      </c>
      <c r="M166" s="33"/>
      <c r="P166" s="1" t="s">
        <v>163</v>
      </c>
      <c r="Q166" s="33"/>
      <c r="V166" s="1" t="s">
        <v>163</v>
      </c>
      <c r="W166" s="33"/>
    </row>
    <row r="167" spans="11:23" x14ac:dyDescent="0.3">
      <c r="K167" s="32" t="s">
        <v>161</v>
      </c>
      <c r="L167" s="50" t="str">
        <f>IF(Achtergrond!E266,'2. Transport en voorbewerking'!D37,"")</f>
        <v/>
      </c>
      <c r="M167" s="33" t="s">
        <v>118</v>
      </c>
      <c r="P167" s="50" t="str">
        <f>IF(Achtergrond!E266,'2. Transport en voorbewerking'!D37,"")</f>
        <v/>
      </c>
      <c r="Q167" s="33" t="s">
        <v>118</v>
      </c>
      <c r="V167" s="19">
        <f>IF('3. Bewerking'!C40="",0,'3. Bewerking'!C40)</f>
        <v>0</v>
      </c>
      <c r="W167" s="33" t="s">
        <v>118</v>
      </c>
    </row>
    <row r="168" spans="11:23" x14ac:dyDescent="0.3">
      <c r="K168" s="32"/>
      <c r="L168" s="1" t="str">
        <f>""</f>
        <v/>
      </c>
      <c r="M168" s="33"/>
      <c r="P168" s="1" t="s">
        <v>163</v>
      </c>
      <c r="Q168" s="33"/>
      <c r="V168" s="1" t="s">
        <v>163</v>
      </c>
      <c r="W168" s="33"/>
    </row>
    <row r="169" spans="11:23" x14ac:dyDescent="0.3">
      <c r="K169" s="31" t="s">
        <v>36</v>
      </c>
      <c r="L169" s="1" t="str">
        <f>""</f>
        <v/>
      </c>
      <c r="M169" s="33"/>
      <c r="P169" s="1" t="s">
        <v>163</v>
      </c>
      <c r="Q169" s="33"/>
      <c r="V169" s="1" t="s">
        <v>163</v>
      </c>
      <c r="W169" s="33"/>
    </row>
    <row r="170" spans="11:23" x14ac:dyDescent="0.3">
      <c r="K170" s="16" t="s">
        <v>296</v>
      </c>
      <c r="L170" s="50" t="str">
        <f>IF(Achtergrond!E269,'2. Transport en voorbewerking'!D41,"")</f>
        <v/>
      </c>
      <c r="M170" s="33" t="s">
        <v>55</v>
      </c>
      <c r="P170" s="50" t="str">
        <f>IF(Achtergrond!E269,'2. Transport en voorbewerking'!D41,"")</f>
        <v/>
      </c>
      <c r="Q170" s="33" t="s">
        <v>55</v>
      </c>
      <c r="V170" s="19">
        <f>IF('3. Bewerking'!C43="",0,'3. Bewerking'!C43)</f>
        <v>0</v>
      </c>
      <c r="W170" s="33" t="s">
        <v>10</v>
      </c>
    </row>
    <row r="171" spans="11:23" x14ac:dyDescent="0.3">
      <c r="K171" s="16" t="s">
        <v>297</v>
      </c>
      <c r="L171" s="1" t="str">
        <f>""</f>
        <v/>
      </c>
      <c r="M171" s="33"/>
      <c r="P171" s="1" t="s">
        <v>163</v>
      </c>
      <c r="Q171" s="33"/>
      <c r="V171" s="19">
        <f>IF('3. Bewerking'!C44="",0,'3. Bewerking'!C44)</f>
        <v>0</v>
      </c>
      <c r="W171" s="33" t="s">
        <v>10</v>
      </c>
    </row>
    <row r="172" spans="11:23" x14ac:dyDescent="0.3">
      <c r="K172" s="38" t="s">
        <v>298</v>
      </c>
      <c r="L172" s="1"/>
      <c r="M172" s="33"/>
      <c r="P172" s="1"/>
      <c r="Q172" s="33"/>
      <c r="V172" s="19">
        <f>IF('3. Bewerking'!C45="",0,'3. Bewerking'!C45)</f>
        <v>0</v>
      </c>
      <c r="W172" s="33" t="s">
        <v>278</v>
      </c>
    </row>
    <row r="173" spans="11:23" x14ac:dyDescent="0.3">
      <c r="K173" s="32"/>
      <c r="L173" s="1"/>
      <c r="M173" s="33"/>
      <c r="P173" s="1"/>
      <c r="Q173" s="33"/>
      <c r="V173" s="1"/>
      <c r="W173" s="33"/>
    </row>
    <row r="174" spans="11:23" x14ac:dyDescent="0.3">
      <c r="K174" s="31" t="s">
        <v>37</v>
      </c>
      <c r="L174" s="1" t="str">
        <f>""</f>
        <v/>
      </c>
      <c r="M174" s="33"/>
      <c r="P174" s="1" t="s">
        <v>163</v>
      </c>
      <c r="Q174" s="33"/>
      <c r="V174" s="1" t="s">
        <v>163</v>
      </c>
      <c r="W174" s="33"/>
    </row>
    <row r="175" spans="11:23" x14ac:dyDescent="0.3">
      <c r="K175" s="32" t="s">
        <v>56</v>
      </c>
      <c r="L175" s="50" t="str">
        <f>IF(Achtergrond!E270,cell_residu,"")</f>
        <v/>
      </c>
      <c r="M175" s="33" t="s">
        <v>118</v>
      </c>
      <c r="P175" s="50" t="str">
        <f>""</f>
        <v/>
      </c>
      <c r="Q175" s="33" t="s">
        <v>118</v>
      </c>
      <c r="V175" s="19">
        <f>IF('3. Bewerking'!C48="",0,'3. Bewerking'!C48)</f>
        <v>0</v>
      </c>
      <c r="W175" s="33" t="s">
        <v>118</v>
      </c>
    </row>
    <row r="176" spans="11:23" x14ac:dyDescent="0.3">
      <c r="K176" s="32" t="s">
        <v>57</v>
      </c>
      <c r="L176" s="71" t="str">
        <f>IF(Achtergrond!E270,0,"")</f>
        <v/>
      </c>
      <c r="M176" s="33" t="s">
        <v>118</v>
      </c>
      <c r="P176" s="71" t="str">
        <f>""</f>
        <v/>
      </c>
      <c r="Q176" s="33" t="s">
        <v>118</v>
      </c>
      <c r="V176" s="20">
        <f>IF('3. Bewerking'!C49="",0,'3. Bewerking'!C49)</f>
        <v>0</v>
      </c>
      <c r="W176" s="33" t="s">
        <v>118</v>
      </c>
    </row>
    <row r="177" spans="2:23" x14ac:dyDescent="0.3">
      <c r="K177" s="32" t="s">
        <v>294</v>
      </c>
      <c r="L177" s="1" t="str">
        <f>""</f>
        <v/>
      </c>
      <c r="M177" s="33"/>
      <c r="P177" s="1" t="s">
        <v>163</v>
      </c>
      <c r="Q177" s="33"/>
      <c r="V177" s="20">
        <f>IF('3. Bewerking'!C52="",0,'3. Bewerking'!C52)</f>
        <v>0</v>
      </c>
      <c r="W177" s="33" t="s">
        <v>118</v>
      </c>
    </row>
    <row r="178" spans="2:23" x14ac:dyDescent="0.3">
      <c r="K178" s="34" t="s">
        <v>16</v>
      </c>
      <c r="L178" s="1" t="str">
        <f>""</f>
        <v/>
      </c>
      <c r="M178" s="33"/>
      <c r="P178" s="1" t="s">
        <v>163</v>
      </c>
      <c r="Q178" s="33"/>
      <c r="V178" s="1" t="s">
        <v>163</v>
      </c>
      <c r="W178" s="33"/>
    </row>
    <row r="179" spans="2:23" x14ac:dyDescent="0.3">
      <c r="K179" s="32" t="s">
        <v>38</v>
      </c>
      <c r="L179" s="50" t="str">
        <f>IF(Achtergrond!E267,'2. Transport en voorbewerking'!D38,"")</f>
        <v/>
      </c>
      <c r="M179" s="33" t="s">
        <v>118</v>
      </c>
      <c r="P179" s="50" t="str">
        <f>IF(Achtergrond!E267,'2. Transport en voorbewerking'!D38,"")</f>
        <v/>
      </c>
      <c r="Q179" s="33" t="s">
        <v>118</v>
      </c>
      <c r="V179" s="19">
        <f>IF(cell_compostering="",0,cell_compostering/(C86/100))</f>
        <v>0</v>
      </c>
      <c r="W179" s="33" t="s">
        <v>118</v>
      </c>
    </row>
    <row r="180" spans="2:23" x14ac:dyDescent="0.3">
      <c r="K180" s="32"/>
      <c r="L180" s="32"/>
      <c r="M180" s="33"/>
      <c r="P180" s="32"/>
      <c r="Q180" s="33"/>
      <c r="V180" s="32"/>
      <c r="W180" s="33"/>
    </row>
    <row r="181" spans="2:23" x14ac:dyDescent="0.3">
      <c r="B181" t="e">
        <f>0.5*'2. Transport en voorbewerking'!#REF!/100*1000</f>
        <v>#REF!</v>
      </c>
      <c r="D181" t="s">
        <v>127</v>
      </c>
      <c r="K181" s="32"/>
      <c r="L181" s="1" t="str">
        <f>""</f>
        <v/>
      </c>
      <c r="M181" s="33"/>
      <c r="P181" s="51" t="s">
        <v>163</v>
      </c>
      <c r="Q181" s="33"/>
      <c r="V181" s="1" t="s">
        <v>163</v>
      </c>
      <c r="W181" s="33"/>
    </row>
    <row r="182" spans="2:23" x14ac:dyDescent="0.3">
      <c r="B182">
        <v>0</v>
      </c>
      <c r="D182" t="s">
        <v>128</v>
      </c>
      <c r="K182" s="32" t="s">
        <v>40</v>
      </c>
      <c r="L182" s="72" t="str">
        <f>IF(Achtergrond!E267,69,"")</f>
        <v/>
      </c>
      <c r="M182" s="33" t="s">
        <v>5</v>
      </c>
      <c r="P182" s="72" t="str">
        <f>""</f>
        <v/>
      </c>
      <c r="Q182" s="33" t="s">
        <v>5</v>
      </c>
      <c r="V182" s="25">
        <f>IF('3. Bewerking'!C55="",0,'3. Bewerking'!C55)</f>
        <v>0</v>
      </c>
      <c r="W182" s="33" t="s">
        <v>5</v>
      </c>
    </row>
    <row r="183" spans="2:23" x14ac:dyDescent="0.3">
      <c r="B183">
        <v>0</v>
      </c>
      <c r="D183" t="s">
        <v>128</v>
      </c>
      <c r="K183" s="32" t="s">
        <v>98</v>
      </c>
      <c r="L183" s="50" t="str">
        <f>IF(Achtergrond!E267,600,"")</f>
        <v/>
      </c>
      <c r="M183" s="33" t="s">
        <v>99</v>
      </c>
      <c r="P183" s="50" t="str">
        <f>""</f>
        <v/>
      </c>
      <c r="Q183" s="33" t="s">
        <v>99</v>
      </c>
      <c r="V183" s="19"/>
      <c r="W183" s="33" t="s">
        <v>99</v>
      </c>
    </row>
    <row r="184" spans="2:23" x14ac:dyDescent="0.3">
      <c r="B184" t="s">
        <v>129</v>
      </c>
      <c r="K184" s="32" t="s">
        <v>41</v>
      </c>
      <c r="L184" s="50" t="str">
        <f>IF(Achtergrond!E267,8.23,"")</f>
        <v/>
      </c>
      <c r="M184" s="33" t="s">
        <v>42</v>
      </c>
      <c r="P184" s="50" t="str">
        <f>""</f>
        <v/>
      </c>
      <c r="Q184" s="33" t="s">
        <v>42</v>
      </c>
      <c r="V184" s="19">
        <f>IF('3. Bewerking'!C56="",0,'3. Bewerking'!C56)</f>
        <v>0</v>
      </c>
      <c r="W184" s="33" t="s">
        <v>42</v>
      </c>
    </row>
    <row r="185" spans="2:23" x14ac:dyDescent="0.3">
      <c r="B185">
        <v>0</v>
      </c>
      <c r="D185" t="s">
        <v>128</v>
      </c>
      <c r="K185" s="32" t="s">
        <v>43</v>
      </c>
      <c r="L185" s="50" t="str">
        <f>IF(Achtergrond!E267,4.12,"")</f>
        <v/>
      </c>
      <c r="M185" s="33" t="s">
        <v>44</v>
      </c>
      <c r="P185" s="50" t="str">
        <f>""</f>
        <v/>
      </c>
      <c r="Q185" s="33" t="s">
        <v>44</v>
      </c>
      <c r="V185" s="19">
        <f>IF('3. Bewerking'!C57="",0,'3. Bewerking'!C57)</f>
        <v>0</v>
      </c>
      <c r="W185" s="33" t="s">
        <v>44</v>
      </c>
    </row>
    <row r="186" spans="2:23" x14ac:dyDescent="0.3">
      <c r="B186" s="28"/>
      <c r="K186" s="32" t="s">
        <v>45</v>
      </c>
      <c r="L186" s="50" t="str">
        <f>IF(Achtergrond!E267,8.25,"")</f>
        <v/>
      </c>
      <c r="M186" s="33" t="s">
        <v>46</v>
      </c>
      <c r="P186" s="50" t="str">
        <f>""</f>
        <v/>
      </c>
      <c r="Q186" s="33" t="s">
        <v>46</v>
      </c>
      <c r="V186" s="19">
        <f>IF('3. Bewerking'!C58="",0,'3. Bewerking'!C58)</f>
        <v>0</v>
      </c>
      <c r="W186" s="33" t="s">
        <v>46</v>
      </c>
    </row>
    <row r="187" spans="2:23" x14ac:dyDescent="0.3">
      <c r="B187" s="28"/>
      <c r="D187" t="s">
        <v>130</v>
      </c>
      <c r="K187" s="32" t="s">
        <v>47</v>
      </c>
      <c r="L187" s="50" t="str">
        <f>IF(Achtergrond!E267,179,"")</f>
        <v/>
      </c>
      <c r="M187" s="33" t="s">
        <v>48</v>
      </c>
      <c r="P187" s="50" t="str">
        <f>""</f>
        <v/>
      </c>
      <c r="Q187" s="33" t="s">
        <v>48</v>
      </c>
      <c r="V187" s="19">
        <f>IF('3. Bewerking'!C59="",0,'3. Bewerking'!C59)</f>
        <v>0</v>
      </c>
      <c r="W187" s="33" t="s">
        <v>48</v>
      </c>
    </row>
    <row r="188" spans="2:23" x14ac:dyDescent="0.3">
      <c r="K188" s="32"/>
      <c r="L188" s="1" t="str">
        <f>""</f>
        <v/>
      </c>
      <c r="M188" s="33"/>
      <c r="P188" s="1" t="s">
        <v>163</v>
      </c>
      <c r="Q188" s="33"/>
      <c r="V188" s="1" t="s">
        <v>163</v>
      </c>
      <c r="W188" s="33"/>
    </row>
    <row r="189" spans="2:23" x14ac:dyDescent="0.3">
      <c r="B189" t="s">
        <v>151</v>
      </c>
      <c r="K189" s="31" t="s">
        <v>49</v>
      </c>
      <c r="L189" s="33" t="s">
        <v>20</v>
      </c>
      <c r="M189" s="33" t="s">
        <v>180</v>
      </c>
      <c r="P189" s="33" t="s">
        <v>20</v>
      </c>
      <c r="Q189" s="33" t="s">
        <v>21</v>
      </c>
      <c r="V189" s="33" t="s">
        <v>20</v>
      </c>
      <c r="W189" s="33" t="s">
        <v>21</v>
      </c>
    </row>
    <row r="190" spans="2:23" x14ac:dyDescent="0.3">
      <c r="B190" t="s">
        <v>152</v>
      </c>
      <c r="K190" s="32" t="s">
        <v>18</v>
      </c>
      <c r="L190" s="50" t="str">
        <f>IF(Achtergrond!E267,L180*L179,"")</f>
        <v/>
      </c>
      <c r="M190" s="73" t="str">
        <f>IF(Achtergrond!E267,100,"")</f>
        <v/>
      </c>
      <c r="P190" s="50" t="str">
        <f>""</f>
        <v/>
      </c>
      <c r="Q190" s="73" t="str">
        <f>""</f>
        <v/>
      </c>
      <c r="V190" s="19" t="e">
        <f>IF('3. Bewerking'!#REF!="",0,'3. Bewerking'!#REF!)</f>
        <v>#REF!</v>
      </c>
      <c r="W190" s="35" t="e">
        <f>IF('3. Bewerking'!#REF!="",0,'3. Bewerking'!#REF!)</f>
        <v>#REF!</v>
      </c>
    </row>
    <row r="191" spans="2:23" x14ac:dyDescent="0.3">
      <c r="K191" s="33"/>
      <c r="L191" s="1" t="str">
        <f>""</f>
        <v/>
      </c>
      <c r="M191" s="33"/>
      <c r="P191" s="1" t="s">
        <v>163</v>
      </c>
      <c r="Q191" s="33"/>
      <c r="V191" s="1" t="s">
        <v>163</v>
      </c>
      <c r="W191" s="33"/>
    </row>
    <row r="192" spans="2:23" x14ac:dyDescent="0.3">
      <c r="K192" s="34" t="s">
        <v>50</v>
      </c>
      <c r="L192" s="1" t="str">
        <f>""</f>
        <v/>
      </c>
      <c r="M192" s="33"/>
      <c r="P192" s="1" t="s">
        <v>163</v>
      </c>
      <c r="Q192" s="33"/>
      <c r="V192" s="1" t="s">
        <v>163</v>
      </c>
      <c r="W192" s="33"/>
    </row>
    <row r="193" spans="2:23" x14ac:dyDescent="0.3">
      <c r="K193" s="32" t="s">
        <v>51</v>
      </c>
      <c r="L193" s="70" t="str">
        <f>IF(Achtergrond!E267,1,"")</f>
        <v/>
      </c>
      <c r="M193" s="33" t="s">
        <v>97</v>
      </c>
      <c r="P193" s="70" t="str">
        <f>""</f>
        <v/>
      </c>
      <c r="Q193" s="33" t="s">
        <v>97</v>
      </c>
      <c r="V193" s="24">
        <f>IF('3. Bewerking'!C63="",0,'3. Bewerking'!C63)</f>
        <v>0</v>
      </c>
      <c r="W193" s="33" t="s">
        <v>97</v>
      </c>
    </row>
    <row r="194" spans="2:23" x14ac:dyDescent="0.3">
      <c r="B194" s="9" t="s">
        <v>156</v>
      </c>
      <c r="K194" s="32"/>
      <c r="L194" s="51" t="str">
        <f>""</f>
        <v/>
      </c>
      <c r="M194" s="33"/>
      <c r="P194" s="51" t="str">
        <f>""</f>
        <v/>
      </c>
      <c r="Q194" s="33"/>
      <c r="V194" s="1"/>
      <c r="W194" s="33"/>
    </row>
    <row r="195" spans="2:23" x14ac:dyDescent="0.3">
      <c r="B195" s="9" t="s">
        <v>160</v>
      </c>
      <c r="K195" s="32"/>
      <c r="L195" s="1"/>
      <c r="M195" s="33"/>
      <c r="P195" s="1"/>
      <c r="Q195" s="33"/>
      <c r="V195" s="1"/>
      <c r="W195" s="33"/>
    </row>
    <row r="196" spans="2:23" x14ac:dyDescent="0.3">
      <c r="B196" t="s">
        <v>157</v>
      </c>
      <c r="K196" s="16" t="s">
        <v>52</v>
      </c>
      <c r="L196" s="127" t="str">
        <f>IF(Achtergrond!E267,0,"")</f>
        <v/>
      </c>
      <c r="M196" s="33" t="s">
        <v>5</v>
      </c>
      <c r="P196" s="127" t="str">
        <f>""</f>
        <v/>
      </c>
      <c r="Q196" s="33" t="s">
        <v>5</v>
      </c>
      <c r="V196" s="128">
        <f>IF('3. Bewerking'!C65="",0,'3. Bewerking'!C65)</f>
        <v>0</v>
      </c>
      <c r="W196" s="33" t="s">
        <v>5</v>
      </c>
    </row>
    <row r="197" spans="2:23" x14ac:dyDescent="0.3">
      <c r="B197" t="s">
        <v>158</v>
      </c>
      <c r="K197" s="16" t="s">
        <v>53</v>
      </c>
      <c r="L197" s="70" t="str">
        <f>IF(Achtergrond!E267,0,"")</f>
        <v/>
      </c>
      <c r="M197" s="33" t="s">
        <v>5</v>
      </c>
      <c r="P197" s="70" t="str">
        <f>""</f>
        <v/>
      </c>
      <c r="Q197" s="33" t="s">
        <v>5</v>
      </c>
      <c r="V197" s="24">
        <f>IF('3. Bewerking'!C67="",0,'3. Bewerking'!C67)</f>
        <v>0</v>
      </c>
      <c r="W197" s="33" t="s">
        <v>5</v>
      </c>
    </row>
    <row r="198" spans="2:23" x14ac:dyDescent="0.3">
      <c r="B198" t="s">
        <v>209</v>
      </c>
      <c r="K198" s="16" t="s">
        <v>269</v>
      </c>
      <c r="L198" s="70" t="str">
        <f>IF(Achtergrond!E267,0,"")</f>
        <v/>
      </c>
      <c r="M198" s="33" t="s">
        <v>5</v>
      </c>
      <c r="P198" s="70" t="str">
        <f>""</f>
        <v/>
      </c>
      <c r="Q198" s="33" t="s">
        <v>5</v>
      </c>
      <c r="V198" s="24">
        <f>IF('3. Bewerking'!C68="",0,'3. Bewerking'!C68)</f>
        <v>0</v>
      </c>
      <c r="W198" s="33" t="s">
        <v>5</v>
      </c>
    </row>
    <row r="199" spans="2:23" x14ac:dyDescent="0.3">
      <c r="B199" t="s">
        <v>159</v>
      </c>
      <c r="K199" s="32"/>
      <c r="L199" s="1"/>
      <c r="M199" s="33"/>
      <c r="P199" s="1"/>
      <c r="Q199" s="33"/>
      <c r="V199" s="1"/>
      <c r="W199" s="33"/>
    </row>
    <row r="200" spans="2:23" x14ac:dyDescent="0.3">
      <c r="B200" t="s">
        <v>210</v>
      </c>
      <c r="K200" s="32"/>
      <c r="L200" s="51"/>
      <c r="M200" s="33"/>
      <c r="P200" s="51"/>
      <c r="Q200" s="33"/>
      <c r="V200" s="1"/>
      <c r="W200" s="33"/>
    </row>
    <row r="201" spans="2:23" x14ac:dyDescent="0.3">
      <c r="K201" s="16" t="s">
        <v>272</v>
      </c>
      <c r="L201" s="70" t="str">
        <f>IF(Achtergrond!E267,1-SUM('3. Bewerking'!C63,'3. Bewerking'!C65:C69),"")</f>
        <v/>
      </c>
      <c r="M201" s="33" t="s">
        <v>5</v>
      </c>
      <c r="P201" s="70" t="str">
        <f>IF(Achtergrond!E267,1-SUM('3. Bewerking'!C63,'3. Bewerking'!C65:C69),"")</f>
        <v/>
      </c>
      <c r="Q201" s="33" t="s">
        <v>5</v>
      </c>
      <c r="V201" s="24">
        <f>IF('3. Bewerking'!C70="",0,'3. Bewerking'!C70)</f>
        <v>1</v>
      </c>
      <c r="W201" s="33" t="s">
        <v>5</v>
      </c>
    </row>
    <row r="205" spans="2:23" x14ac:dyDescent="0.3">
      <c r="K205" s="1"/>
      <c r="L205" s="1" t="str">
        <f>""</f>
        <v/>
      </c>
      <c r="M205" s="1"/>
      <c r="P205" s="1" t="str">
        <f>""</f>
        <v/>
      </c>
      <c r="Q205" s="1"/>
      <c r="V205" s="1"/>
      <c r="W205" s="1"/>
    </row>
    <row r="206" spans="2:23" x14ac:dyDescent="0.3">
      <c r="K206" s="3" t="s">
        <v>22</v>
      </c>
      <c r="L206" s="1" t="str">
        <f>""</f>
        <v/>
      </c>
      <c r="M206" s="1"/>
      <c r="P206" s="1" t="str">
        <f>""</f>
        <v/>
      </c>
      <c r="Q206" s="1"/>
      <c r="V206" s="1"/>
      <c r="W206" s="1"/>
    </row>
    <row r="207" spans="2:23" x14ac:dyDescent="0.3">
      <c r="K207" s="4" t="s">
        <v>23</v>
      </c>
      <c r="L207" s="64" t="str">
        <f>""</f>
        <v/>
      </c>
      <c r="M207" s="1" t="s">
        <v>118</v>
      </c>
      <c r="P207" s="64" t="str">
        <f>""</f>
        <v/>
      </c>
      <c r="Q207" s="1" t="s">
        <v>118</v>
      </c>
      <c r="V207" s="5">
        <f>'2. Transport en voorbewerking'!C7</f>
        <v>0</v>
      </c>
      <c r="W207" s="1" t="s">
        <v>118</v>
      </c>
    </row>
    <row r="208" spans="2:23" x14ac:dyDescent="0.3">
      <c r="K208" s="1"/>
      <c r="L208" s="1"/>
      <c r="M208" s="1"/>
      <c r="P208" s="1"/>
      <c r="Q208" s="1"/>
      <c r="V208" s="1"/>
      <c r="W208" s="1"/>
    </row>
    <row r="209" spans="11:23" x14ac:dyDescent="0.3">
      <c r="K209" s="4" t="s">
        <v>123</v>
      </c>
      <c r="L209" s="63"/>
      <c r="M209" s="1" t="s">
        <v>5</v>
      </c>
      <c r="P209" s="63"/>
      <c r="Q209" s="1" t="s">
        <v>5</v>
      </c>
      <c r="V209" s="30" t="e">
        <f>IF('2. Transport en voorbewerking'!#REF!="",0,'2. Transport en voorbewerking'!#REF!)</f>
        <v>#REF!</v>
      </c>
      <c r="W209" s="1" t="s">
        <v>5</v>
      </c>
    </row>
    <row r="210" spans="11:23" x14ac:dyDescent="0.3">
      <c r="K210" s="4"/>
      <c r="L210" s="51"/>
      <c r="M210" s="1"/>
      <c r="P210" s="51"/>
      <c r="Q210" s="1"/>
      <c r="V210" s="1" t="str">
        <f>""</f>
        <v/>
      </c>
      <c r="W210" s="1"/>
    </row>
    <row r="211" spans="11:23" x14ac:dyDescent="0.3">
      <c r="K211" s="4" t="s">
        <v>124</v>
      </c>
      <c r="L211" s="63"/>
      <c r="M211" s="1" t="s">
        <v>5</v>
      </c>
      <c r="P211" s="63"/>
      <c r="Q211" s="1" t="s">
        <v>5</v>
      </c>
      <c r="V211" s="30" t="e">
        <f>IF('2. Transport en voorbewerking'!#REF!="",0,'2. Transport en voorbewerking'!#REF!)</f>
        <v>#REF!</v>
      </c>
      <c r="W211" s="1" t="s">
        <v>5</v>
      </c>
    </row>
    <row r="212" spans="11:23" x14ac:dyDescent="0.3">
      <c r="K212" s="4"/>
      <c r="L212" s="51"/>
      <c r="M212" s="1"/>
      <c r="P212" s="51"/>
      <c r="Q212" s="1"/>
      <c r="V212" s="1" t="str">
        <f>""</f>
        <v/>
      </c>
      <c r="W212" s="1"/>
    </row>
    <row r="213" spans="11:23" x14ac:dyDescent="0.3">
      <c r="K213" s="4" t="s">
        <v>126</v>
      </c>
      <c r="L213" s="63"/>
      <c r="M213" s="1" t="s">
        <v>5</v>
      </c>
      <c r="P213" s="63"/>
      <c r="Q213" s="1" t="s">
        <v>5</v>
      </c>
      <c r="V213" s="30" t="e">
        <f>IF('2. Transport en voorbewerking'!#REF!="",0,'2. Transport en voorbewerking'!#REF!)</f>
        <v>#REF!</v>
      </c>
      <c r="W213" s="1" t="s">
        <v>5</v>
      </c>
    </row>
    <row r="214" spans="11:23" x14ac:dyDescent="0.3">
      <c r="K214" s="4"/>
      <c r="L214" s="51"/>
      <c r="M214" s="1"/>
      <c r="P214" s="51"/>
      <c r="Q214" s="1"/>
      <c r="V214" s="1" t="str">
        <f>""</f>
        <v/>
      </c>
      <c r="W214" s="1"/>
    </row>
    <row r="215" spans="11:23" x14ac:dyDescent="0.3">
      <c r="K215" s="4" t="s">
        <v>125</v>
      </c>
      <c r="L215" s="63"/>
      <c r="M215" s="1" t="s">
        <v>5</v>
      </c>
      <c r="P215" s="63"/>
      <c r="Q215" s="1" t="s">
        <v>5</v>
      </c>
      <c r="V215" s="30" t="e">
        <f>IF('2. Transport en voorbewerking'!#REF!="",0,'2. Transport en voorbewerking'!#REF!)</f>
        <v>#REF!</v>
      </c>
      <c r="W215" s="1" t="s">
        <v>5</v>
      </c>
    </row>
    <row r="216" spans="11:23" x14ac:dyDescent="0.3">
      <c r="K216" s="4"/>
      <c r="L216" s="51"/>
      <c r="M216" s="1"/>
      <c r="P216" s="51"/>
      <c r="Q216" s="1"/>
      <c r="V216" s="1" t="str">
        <f>""</f>
        <v/>
      </c>
      <c r="W216" s="1"/>
    </row>
    <row r="217" spans="11:23" x14ac:dyDescent="0.3">
      <c r="K217" s="4" t="s">
        <v>199</v>
      </c>
      <c r="L217" s="63"/>
      <c r="M217" s="1"/>
      <c r="P217" s="63"/>
      <c r="Q217" s="1"/>
      <c r="V217" s="30" t="e">
        <f>IF('2. Transport en voorbewerking'!#REF!="",0,'2. Transport en voorbewerking'!#REF!)</f>
        <v>#REF!</v>
      </c>
      <c r="W217" s="1"/>
    </row>
    <row r="218" spans="11:23" x14ac:dyDescent="0.3">
      <c r="K218" s="4"/>
      <c r="L218" s="1" t="str">
        <f>""</f>
        <v/>
      </c>
      <c r="M218" s="1"/>
      <c r="P218" s="1"/>
      <c r="Q218" s="1"/>
      <c r="V218" s="1" t="str">
        <f>""</f>
        <v/>
      </c>
      <c r="W218" s="1"/>
    </row>
    <row r="219" spans="11:23" x14ac:dyDescent="0.3">
      <c r="K219" s="4"/>
      <c r="L219" s="1" t="str">
        <f>""</f>
        <v/>
      </c>
      <c r="M219" s="1"/>
      <c r="P219" s="1" t="str">
        <f>""</f>
        <v/>
      </c>
      <c r="Q219" s="1"/>
      <c r="V219" s="1"/>
      <c r="W219" s="1"/>
    </row>
    <row r="220" spans="11:23" x14ac:dyDescent="0.3">
      <c r="K220" s="3" t="s">
        <v>17</v>
      </c>
      <c r="L220" s="1" t="s">
        <v>117</v>
      </c>
      <c r="M220" s="1" t="s">
        <v>21</v>
      </c>
      <c r="P220" s="1" t="s">
        <v>117</v>
      </c>
      <c r="Q220" s="1" t="s">
        <v>21</v>
      </c>
      <c r="V220" s="1" t="s">
        <v>117</v>
      </c>
      <c r="W220" s="1" t="s">
        <v>21</v>
      </c>
    </row>
    <row r="221" spans="11:23" x14ac:dyDescent="0.3">
      <c r="K221" s="4" t="s">
        <v>167</v>
      </c>
      <c r="L221" s="64" t="str">
        <f>""</f>
        <v/>
      </c>
      <c r="M221" s="65">
        <v>20</v>
      </c>
      <c r="P221" s="64" t="str">
        <f>""</f>
        <v/>
      </c>
      <c r="Q221" s="64" t="str">
        <f>""</f>
        <v/>
      </c>
      <c r="V221" s="5">
        <f>IF('2. Transport en voorbewerking'!C11="",0,'2. Transport en voorbewerking'!C11)</f>
        <v>0</v>
      </c>
      <c r="W221" s="5">
        <f>IF('2. Transport en voorbewerking'!D11="",0,'2. Transport en voorbewerking'!D11)</f>
        <v>0</v>
      </c>
    </row>
    <row r="222" spans="11:23" x14ac:dyDescent="0.3">
      <c r="K222" s="4" t="s">
        <v>168</v>
      </c>
      <c r="L222" s="64" t="str">
        <f>""</f>
        <v/>
      </c>
      <c r="M222" s="65">
        <v>50</v>
      </c>
      <c r="P222" s="64" t="str">
        <f>""</f>
        <v/>
      </c>
      <c r="Q222" s="64" t="str">
        <f>""</f>
        <v/>
      </c>
      <c r="V222" s="5">
        <f>IF('2. Transport en voorbewerking'!C12="",0,'2. Transport en voorbewerking'!C12)</f>
        <v>0</v>
      </c>
      <c r="W222" s="5">
        <f>IF('2. Transport en voorbewerking'!D12="",0,'2. Transport en voorbewerking'!D12)</f>
        <v>0</v>
      </c>
    </row>
    <row r="223" spans="11:23" x14ac:dyDescent="0.3">
      <c r="K223" s="4" t="s">
        <v>169</v>
      </c>
      <c r="L223" s="64" t="str">
        <f>""</f>
        <v/>
      </c>
      <c r="M223" s="65">
        <v>100</v>
      </c>
      <c r="P223" s="64" t="str">
        <f>""</f>
        <v/>
      </c>
      <c r="Q223" s="64" t="str">
        <f>""</f>
        <v/>
      </c>
      <c r="V223" s="5">
        <f>IF('2. Transport en voorbewerking'!C13="",0,'2. Transport en voorbewerking'!C13)</f>
        <v>0</v>
      </c>
      <c r="W223" s="5">
        <f>IF('2. Transport en voorbewerking'!D13="",0,'2. Transport en voorbewerking'!D13)</f>
        <v>0</v>
      </c>
    </row>
    <row r="224" spans="11:23" x14ac:dyDescent="0.3">
      <c r="K224" s="4"/>
      <c r="L224" s="1"/>
      <c r="M224" s="1"/>
      <c r="P224" s="1"/>
      <c r="Q224" s="1"/>
      <c r="V224" s="1"/>
      <c r="W224" s="1"/>
    </row>
    <row r="225" spans="2:23" x14ac:dyDescent="0.3">
      <c r="K225" s="4"/>
      <c r="L225" s="1"/>
      <c r="M225" s="1"/>
      <c r="P225" s="1"/>
      <c r="Q225" s="1"/>
      <c r="V225" s="1" t="str">
        <f>""</f>
        <v/>
      </c>
      <c r="W225" s="1"/>
    </row>
    <row r="226" spans="2:23" x14ac:dyDescent="0.3">
      <c r="K226" s="1"/>
      <c r="L226" s="1" t="str">
        <f>""</f>
        <v/>
      </c>
      <c r="M226" s="1"/>
      <c r="P226" s="1" t="str">
        <f>""</f>
        <v/>
      </c>
      <c r="Q226" s="1"/>
      <c r="V226" s="1"/>
      <c r="W226" s="1"/>
    </row>
    <row r="227" spans="2:23" x14ac:dyDescent="0.3">
      <c r="K227" s="3" t="s">
        <v>24</v>
      </c>
      <c r="L227" s="1" t="str">
        <f>""</f>
        <v/>
      </c>
      <c r="M227" s="1"/>
      <c r="P227" s="1" t="str">
        <f>""</f>
        <v/>
      </c>
      <c r="Q227" s="1"/>
      <c r="V227" s="1"/>
      <c r="W227" s="1"/>
    </row>
    <row r="228" spans="2:23" x14ac:dyDescent="0.3">
      <c r="K228" s="4" t="s">
        <v>25</v>
      </c>
      <c r="L228" s="64" t="str">
        <f>IF('2. Transport en voorbewerking'!C7&lt;&gt;"",5*'2. Transport en voorbewerking'!C7,"")</f>
        <v/>
      </c>
      <c r="M228" s="1" t="s">
        <v>11</v>
      </c>
      <c r="P228" s="64" t="str">
        <f>""</f>
        <v/>
      </c>
      <c r="Q228" s="1" t="s">
        <v>11</v>
      </c>
      <c r="V228" s="5">
        <f>IF('2. Transport en voorbewerking'!C18="",0,'2. Transport en voorbewerking'!C18)</f>
        <v>0</v>
      </c>
      <c r="W228" s="1" t="s">
        <v>11</v>
      </c>
    </row>
    <row r="229" spans="2:23" x14ac:dyDescent="0.3">
      <c r="K229" s="4" t="s">
        <v>141</v>
      </c>
      <c r="L229" s="64" t="str">
        <f>IF('2. Transport en voorbewerking'!C7&lt;&gt;"",0*'2. Transport en voorbewerking'!C7,"")</f>
        <v/>
      </c>
      <c r="M229" s="1" t="s">
        <v>11</v>
      </c>
      <c r="P229" s="64" t="str">
        <f>""</f>
        <v/>
      </c>
      <c r="Q229" s="1" t="s">
        <v>11</v>
      </c>
      <c r="V229" s="5">
        <f>IF('2. Transport en voorbewerking'!C19="",0,'2. Transport en voorbewerking'!C19)</f>
        <v>0</v>
      </c>
      <c r="W229" s="1" t="s">
        <v>11</v>
      </c>
    </row>
    <row r="230" spans="2:23" x14ac:dyDescent="0.3">
      <c r="K230" s="4" t="s">
        <v>26</v>
      </c>
      <c r="L230" s="64" t="str">
        <f>IF('2. Transport en voorbewerking'!C7&lt;&gt;"",0*'2. Transport en voorbewerking'!C7,"")</f>
        <v/>
      </c>
      <c r="M230" s="1" t="s">
        <v>11</v>
      </c>
      <c r="P230" s="64" t="str">
        <f>""</f>
        <v/>
      </c>
      <c r="Q230" s="1" t="s">
        <v>11</v>
      </c>
      <c r="V230" s="5">
        <f>IF('2. Transport en voorbewerking'!C20="",0,'2. Transport en voorbewerking'!C20)</f>
        <v>0</v>
      </c>
      <c r="W230" s="1" t="s">
        <v>11</v>
      </c>
    </row>
    <row r="231" spans="2:23" x14ac:dyDescent="0.3">
      <c r="K231" s="4" t="s">
        <v>27</v>
      </c>
      <c r="L231" s="64" t="str">
        <f>IF('2. Transport en voorbewerking'!C7&lt;&gt;"",0*'2. Transport en voorbewerking'!C7,"")</f>
        <v/>
      </c>
      <c r="M231" s="1" t="s">
        <v>11</v>
      </c>
      <c r="P231" s="64" t="str">
        <f>""</f>
        <v/>
      </c>
      <c r="Q231" s="1" t="s">
        <v>11</v>
      </c>
      <c r="V231" s="5">
        <f>IF('2. Transport en voorbewerking'!C21="",0,'2. Transport en voorbewerking'!C21)</f>
        <v>0</v>
      </c>
      <c r="W231" s="1" t="s">
        <v>11</v>
      </c>
    </row>
    <row r="232" spans="2:23" x14ac:dyDescent="0.3">
      <c r="K232" s="4" t="s">
        <v>28</v>
      </c>
      <c r="L232" s="64" t="str">
        <f>IF('2. Transport en voorbewerking'!C7&lt;&gt;"",0*'2. Transport en voorbewerking'!C7,"")</f>
        <v/>
      </c>
      <c r="M232" s="1" t="s">
        <v>11</v>
      </c>
      <c r="P232" s="64" t="str">
        <f>""</f>
        <v/>
      </c>
      <c r="Q232" s="1" t="s">
        <v>11</v>
      </c>
      <c r="V232" s="5">
        <f>IF('2. Transport en voorbewerking'!C22="",0,'2. Transport en voorbewerking'!C22)</f>
        <v>0</v>
      </c>
      <c r="W232" s="1" t="s">
        <v>11</v>
      </c>
    </row>
    <row r="233" spans="2:23" x14ac:dyDescent="0.3">
      <c r="K233" s="1"/>
      <c r="L233" s="1" t="str">
        <f>""</f>
        <v/>
      </c>
      <c r="M233" s="1"/>
      <c r="P233" s="1" t="str">
        <f>""</f>
        <v/>
      </c>
      <c r="Q233" s="1"/>
      <c r="V233" s="1"/>
      <c r="W233" s="1"/>
    </row>
    <row r="234" spans="2:23" x14ac:dyDescent="0.3">
      <c r="K234" s="4" t="s">
        <v>29</v>
      </c>
      <c r="L234" s="64" t="str">
        <f>IF('2. Transport en voorbewerking'!C7&lt;&gt;"",3*'2. Transport en voorbewerking'!C7,"")</f>
        <v/>
      </c>
      <c r="M234" s="1" t="s">
        <v>31</v>
      </c>
      <c r="P234" s="64" t="str">
        <f>""</f>
        <v/>
      </c>
      <c r="Q234" s="1" t="s">
        <v>31</v>
      </c>
      <c r="V234" s="5">
        <f>IF('2. Transport en voorbewerking'!C24="",0,'2. Transport en voorbewerking'!C24)</f>
        <v>0</v>
      </c>
      <c r="W234" s="1" t="s">
        <v>31</v>
      </c>
    </row>
    <row r="235" spans="2:23" x14ac:dyDescent="0.3">
      <c r="K235" s="4" t="s">
        <v>30</v>
      </c>
      <c r="L235" s="64" t="str">
        <f>IF('2. Transport en voorbewerking'!C7&lt;&gt;"",0*'2. Transport en voorbewerking'!C7,"")</f>
        <v/>
      </c>
      <c r="M235" s="1" t="s">
        <v>10</v>
      </c>
      <c r="P235" s="64" t="str">
        <f>""</f>
        <v/>
      </c>
      <c r="Q235" s="1" t="s">
        <v>10</v>
      </c>
      <c r="V235" s="5">
        <f>IF('2. Transport en voorbewerking'!C25="",0,'2. Transport en voorbewerking'!C25)</f>
        <v>0</v>
      </c>
      <c r="W235" s="1" t="s">
        <v>10</v>
      </c>
    </row>
    <row r="236" spans="2:23" x14ac:dyDescent="0.3">
      <c r="K236" s="4" t="s">
        <v>315</v>
      </c>
      <c r="L236" s="64" t="str">
        <f>IF('2. Transport en voorbewerking'!C8&lt;&gt;"",0*'2. Transport en voorbewerking'!C8,"")</f>
        <v/>
      </c>
      <c r="M236" s="1" t="s">
        <v>31</v>
      </c>
      <c r="P236" s="69"/>
      <c r="Q236" s="1"/>
      <c r="V236" s="5">
        <f>IF('2. Transport en voorbewerking'!C26="",0,'2. Transport en voorbewerking'!C26)</f>
        <v>0</v>
      </c>
      <c r="W236" s="1" t="s">
        <v>31</v>
      </c>
    </row>
    <row r="239" spans="2:23" x14ac:dyDescent="0.3">
      <c r="B239" s="48" t="s">
        <v>184</v>
      </c>
      <c r="C239" s="48"/>
      <c r="D239" s="48"/>
      <c r="E239" s="48"/>
    </row>
    <row r="240" spans="2:23" x14ac:dyDescent="0.3">
      <c r="B240" t="s">
        <v>185</v>
      </c>
      <c r="C240" s="69" t="b">
        <v>0</v>
      </c>
    </row>
    <row r="241" spans="2:15" x14ac:dyDescent="0.3">
      <c r="B241" t="s">
        <v>186</v>
      </c>
      <c r="C241" s="69" t="b">
        <v>0</v>
      </c>
    </row>
    <row r="242" spans="2:15" x14ac:dyDescent="0.3">
      <c r="B242" t="s">
        <v>187</v>
      </c>
      <c r="C242" s="69" t="b">
        <v>0</v>
      </c>
    </row>
    <row r="243" spans="2:15" x14ac:dyDescent="0.3">
      <c r="B243" t="s">
        <v>188</v>
      </c>
      <c r="C243" s="69" t="b">
        <v>0</v>
      </c>
    </row>
    <row r="245" spans="2:15" x14ac:dyDescent="0.3">
      <c r="B245" t="s">
        <v>189</v>
      </c>
      <c r="E245" s="69" t="b">
        <f>AND(C240=TRUE,C241=TRUE,C242=TRUE,criterium4=FALSE)</f>
        <v>0</v>
      </c>
    </row>
    <row r="246" spans="2:15" x14ac:dyDescent="0.3">
      <c r="B246" t="s">
        <v>229</v>
      </c>
      <c r="E246" t="b">
        <f>IF(C243,TRUE,FALSE)</f>
        <v>0</v>
      </c>
      <c r="K246" s="168"/>
      <c r="L246" s="168"/>
      <c r="M246" s="168"/>
      <c r="N246" s="168"/>
      <c r="O246" s="168"/>
    </row>
    <row r="247" spans="2:15" x14ac:dyDescent="0.3">
      <c r="B247" t="str">
        <f>IF(E245,"Inrichting werkt conform best practice", "Inrichting werkt niet conform best practice. De rekenresultaten van de tool zijn mogelijk niet betrouwbaar.")</f>
        <v>Inrichting werkt niet conform best practice. De rekenresultaten van de tool zijn mogelijk niet betrouwbaar.</v>
      </c>
      <c r="K247" s="168"/>
      <c r="L247" s="168"/>
      <c r="M247" s="168"/>
      <c r="N247" s="168"/>
      <c r="O247" s="168"/>
    </row>
    <row r="248" spans="2:15" x14ac:dyDescent="0.3">
      <c r="B248" t="str">
        <f>IF(E246,"", "De resultaten voor bokashi en kleine kringloop zijn conservatief ingeschat en onzeker.")</f>
        <v>De resultaten voor bokashi en kleine kringloop zijn conservatief ingeschat en onzeker.</v>
      </c>
      <c r="K248" s="100"/>
      <c r="L248" s="100"/>
      <c r="M248" s="100"/>
      <c r="N248" s="100"/>
      <c r="O248" s="100"/>
    </row>
    <row r="249" spans="2:15" x14ac:dyDescent="0.3">
      <c r="K249" s="169"/>
      <c r="L249" s="169"/>
      <c r="M249" s="169"/>
      <c r="N249" s="169"/>
      <c r="O249" s="169"/>
    </row>
    <row r="250" spans="2:15" x14ac:dyDescent="0.3">
      <c r="B250" s="48" t="s">
        <v>202</v>
      </c>
      <c r="C250" s="48"/>
      <c r="D250" s="48"/>
      <c r="E250" s="48" t="s">
        <v>118</v>
      </c>
      <c r="F250" s="48" t="s">
        <v>206</v>
      </c>
      <c r="G250" s="48"/>
      <c r="K250" s="170"/>
      <c r="L250" s="170"/>
      <c r="M250" s="170"/>
      <c r="N250" s="170"/>
      <c r="O250" s="170"/>
    </row>
    <row r="251" spans="2:15" x14ac:dyDescent="0.3">
      <c r="B251" t="s">
        <v>203</v>
      </c>
      <c r="E251" s="27" t="e">
        <f>'2. Transport en voorbewerking'!#REF!+'2. Transport en voorbewerking'!#REF!-Achtergrond!V136</f>
        <v>#REF!</v>
      </c>
      <c r="F251" t="s">
        <v>207</v>
      </c>
      <c r="G251">
        <v>0.3</v>
      </c>
      <c r="H251" t="e">
        <f>IF(#REF!&gt;G251,TRUE,FALSE)</f>
        <v>#REF!</v>
      </c>
      <c r="K251" s="101"/>
      <c r="L251" s="101"/>
      <c r="M251" s="101"/>
      <c r="N251" s="101"/>
      <c r="O251" s="101"/>
    </row>
    <row r="252" spans="2:15" x14ac:dyDescent="0.3">
      <c r="B252" t="s">
        <v>204</v>
      </c>
      <c r="E252" s="27" t="e">
        <f>'2. Transport en voorbewerking'!#REF!-Achtergrond!V145-Achtergrond!V148-Achtergrond!V154-Achtergrond!V157-Achtergrond!V164-Achtergrond!V167</f>
        <v>#REF!</v>
      </c>
      <c r="F252" t="s">
        <v>208</v>
      </c>
      <c r="G252">
        <v>0.3</v>
      </c>
      <c r="H252" t="e">
        <f>IF(#REF!&lt;G252,TRUE,FALSE)</f>
        <v>#REF!</v>
      </c>
      <c r="K252" s="168"/>
      <c r="L252" s="168"/>
      <c r="M252" s="168"/>
      <c r="N252" s="168"/>
      <c r="O252" s="168"/>
    </row>
    <row r="253" spans="2:15" x14ac:dyDescent="0.3">
      <c r="B253" t="s">
        <v>205</v>
      </c>
      <c r="E253" s="27" t="e">
        <f>'2. Transport en voorbewerking'!#REF!+'2. Transport en voorbewerking'!#REF!</f>
        <v>#REF!</v>
      </c>
      <c r="K253" s="168"/>
      <c r="L253" s="168"/>
      <c r="M253" s="168"/>
      <c r="N253" s="168"/>
      <c r="O253" s="168"/>
    </row>
    <row r="254" spans="2:15" x14ac:dyDescent="0.3">
      <c r="B254" t="s">
        <v>93</v>
      </c>
      <c r="E254" s="27" t="e">
        <f>E251+E252+E253</f>
        <v>#REF!</v>
      </c>
    </row>
    <row r="256" spans="2:15" x14ac:dyDescent="0.3">
      <c r="B256" t="e">
        <f>IF(H251,"de composthoop bevat voldoende hout","de composthoop bevat onvoldoende hout")</f>
        <v>#REF!</v>
      </c>
    </row>
    <row r="257" spans="2:5" x14ac:dyDescent="0.3">
      <c r="B257" t="e">
        <f>IF(H252,"het gehalte maaisels in de composthoop is laag genoeg","het gehalte maaisels in de composthoop is te hoog")</f>
        <v>#REF!</v>
      </c>
    </row>
    <row r="261" spans="2:5" x14ac:dyDescent="0.3">
      <c r="B261" s="3" t="s">
        <v>32</v>
      </c>
      <c r="C261" s="1"/>
      <c r="D261" s="1"/>
      <c r="E261" s="1"/>
    </row>
    <row r="262" spans="2:5" x14ac:dyDescent="0.3">
      <c r="B262" s="1" t="s">
        <v>0</v>
      </c>
      <c r="C262" s="1"/>
      <c r="D262" s="1"/>
      <c r="E262" s="68" t="b">
        <v>0</v>
      </c>
    </row>
    <row r="263" spans="2:5" x14ac:dyDescent="0.3">
      <c r="B263" s="1" t="s">
        <v>6</v>
      </c>
      <c r="C263" s="1"/>
      <c r="D263" s="1"/>
      <c r="E263" s="68" t="b">
        <v>0</v>
      </c>
    </row>
    <row r="264" spans="2:5" x14ac:dyDescent="0.3">
      <c r="B264" s="1" t="s">
        <v>33</v>
      </c>
      <c r="C264" s="1"/>
      <c r="D264" s="1"/>
      <c r="E264" s="68" t="b">
        <v>0</v>
      </c>
    </row>
    <row r="265" spans="2:5" x14ac:dyDescent="0.3">
      <c r="B265" s="1" t="s">
        <v>14</v>
      </c>
      <c r="C265" s="1"/>
      <c r="D265" s="1"/>
      <c r="E265" s="68" t="b">
        <v>0</v>
      </c>
    </row>
    <row r="266" spans="2:5" x14ac:dyDescent="0.3">
      <c r="B266" s="1" t="s">
        <v>131</v>
      </c>
      <c r="C266" s="1"/>
      <c r="D266" s="1"/>
      <c r="E266" s="68" t="b">
        <v>0</v>
      </c>
    </row>
    <row r="267" spans="2:5" x14ac:dyDescent="0.3">
      <c r="B267" s="1" t="s">
        <v>16</v>
      </c>
      <c r="C267" s="1"/>
      <c r="D267" s="1"/>
      <c r="E267" s="68" t="b">
        <v>0</v>
      </c>
    </row>
    <row r="268" spans="2:5" x14ac:dyDescent="0.3">
      <c r="B268" s="1" t="s">
        <v>34</v>
      </c>
      <c r="C268" s="1"/>
      <c r="D268" s="1"/>
      <c r="E268" s="68" t="b">
        <v>0</v>
      </c>
    </row>
    <row r="269" spans="2:5" x14ac:dyDescent="0.3">
      <c r="B269" s="1" t="s">
        <v>36</v>
      </c>
      <c r="C269" s="1"/>
      <c r="D269" s="1"/>
      <c r="E269" s="68" t="b">
        <v>0</v>
      </c>
    </row>
    <row r="270" spans="2:5" x14ac:dyDescent="0.3">
      <c r="B270" s="1" t="s">
        <v>37</v>
      </c>
      <c r="C270" s="1"/>
      <c r="D270" s="1"/>
      <c r="E270" s="68" t="b">
        <v>0</v>
      </c>
    </row>
    <row r="271" spans="2:5" x14ac:dyDescent="0.3">
      <c r="B271" s="1" t="s">
        <v>35</v>
      </c>
      <c r="C271" s="1"/>
      <c r="D271" s="1"/>
      <c r="E271" s="68" t="b">
        <v>0</v>
      </c>
    </row>
    <row r="272" spans="2:5" x14ac:dyDescent="0.3">
      <c r="B272" s="1" t="s">
        <v>295</v>
      </c>
      <c r="C272" s="1"/>
      <c r="D272" s="1"/>
      <c r="E272" s="51" t="b">
        <v>0</v>
      </c>
    </row>
  </sheetData>
  <sheetProtection algorithmName="SHA-512" hashValue="WoJebhhEWVKduUbCVT6FEiGYIldLT4Q1vol8tFnInjsfh8qxgcs32730JykKGzIA0/GpfextYD1Dkcn+mrZP5Q==" saltValue="E2S/JF4D8OyVyDD98NJriQ==" spinCount="100000" sheet="1" objects="1" scenarios="1" selectLockedCells="1"/>
  <mergeCells count="5">
    <mergeCell ref="K246:O247"/>
    <mergeCell ref="K249:O249"/>
    <mergeCell ref="K250:O250"/>
    <mergeCell ref="K252:O253"/>
    <mergeCell ref="B22:F23"/>
  </mergeCells>
  <conditionalFormatting sqref="L167 P167 V167">
    <cfRule type="expression" dxfId="32" priority="775">
      <formula>$E$266</formula>
    </cfRule>
  </conditionalFormatting>
  <conditionalFormatting sqref="Q143:Q149 M143:M149 K142:K149 K155:K156 M164 K158 Q154 Q157 M154:M157 M161 Q161 Q164 Q167 M167 D49:D55 B51:B55 W143:W149 B48:B49">
    <cfRule type="expression" dxfId="31" priority="778">
      <formula>$E$263</formula>
    </cfRule>
  </conditionalFormatting>
  <conditionalFormatting sqref="P143 L136:L140 P152 P136:P140 V143 V152 V136:V140 C42:C45">
    <cfRule type="expression" dxfId="30" priority="794">
      <formula>$E$262</formula>
    </cfRule>
  </conditionalFormatting>
  <conditionalFormatting sqref="L143 P145:P149 V145:V149 L145:L149 C51:C55 C49">
    <cfRule type="expression" dxfId="29" priority="802">
      <formula>$E$263</formula>
    </cfRule>
  </conditionalFormatting>
  <conditionalFormatting sqref="M152:M153 K151:K154 Q152:Q153 W152:W158 K157 M158 Q155:Q156 Q158 D58:D64 B60:B64 B57:B58 B78">
    <cfRule type="expression" dxfId="28" priority="807">
      <formula>$E$264</formula>
    </cfRule>
  </conditionalFormatting>
  <conditionalFormatting sqref="L152 P154:P158 V154:V158 L154:L158 C60:C64 C58">
    <cfRule type="expression" dxfId="27" priority="817">
      <formula>$E$264</formula>
    </cfRule>
  </conditionalFormatting>
  <conditionalFormatting sqref="K163:K164 W164 D70 B69:B70">
    <cfRule type="expression" dxfId="26" priority="822">
      <formula>$E$265</formula>
    </cfRule>
  </conditionalFormatting>
  <conditionalFormatting sqref="L164 P164 V164">
    <cfRule type="expression" dxfId="25" priority="825">
      <formula>$E$265</formula>
    </cfRule>
  </conditionalFormatting>
  <conditionalFormatting sqref="L189:M189 P189:Q189 V189:W189 M193:M201 Q193:Q201 W193:W201 B84:B93 B95:B100 B106 B102:B104 Q180:Q187 M180:M187 C96:D96 D99:D107 D86:D93 C105 K178:K201 W179:W187">
    <cfRule type="expression" dxfId="24" priority="828">
      <formula>$E$267</formula>
    </cfRule>
  </conditionalFormatting>
  <conditionalFormatting sqref="L179 L182:L187 L190:M190 P182:P187 P190:Q190 V182:V187 V190:W190 P179 V179 L193 P193 V193 L196:L198 L201 P196:P198 P201 V196:V198 V201 C88:C93 C97:D97 C106 C102:C104 C86 C100">
    <cfRule type="expression" dxfId="23" priority="846">
      <formula>$E$267</formula>
    </cfRule>
  </conditionalFormatting>
  <conditionalFormatting sqref="K169 M170 Q170 W170 B75:B77 D76:D77">
    <cfRule type="expression" dxfId="22" priority="868">
      <formula>$E$269</formula>
    </cfRule>
  </conditionalFormatting>
  <conditionalFormatting sqref="L170 P170 C76:C78 V170:V172">
    <cfRule type="expression" dxfId="21" priority="872">
      <formula>$E$269</formula>
    </cfRule>
  </conditionalFormatting>
  <conditionalFormatting sqref="Q179 M179 D81:D82 K174:K176 W175:W176 Q175:Q176 M175:M176 B80:B82 D85">
    <cfRule type="expression" dxfId="20" priority="875">
      <formula>$E$270</formula>
    </cfRule>
  </conditionalFormatting>
  <conditionalFormatting sqref="L175:L176 P175:P176 V175:V177">
    <cfRule type="expression" dxfId="19" priority="882">
      <formula>$E$270</formula>
    </cfRule>
  </conditionalFormatting>
  <conditionalFormatting sqref="K160:K161 W161 D67 B66:B67">
    <cfRule type="expression" dxfId="18" priority="885">
      <formula>$E$268</formula>
    </cfRule>
  </conditionalFormatting>
  <conditionalFormatting sqref="L161 P161 V161">
    <cfRule type="expression" dxfId="17" priority="888">
      <formula>$E$268</formula>
    </cfRule>
  </conditionalFormatting>
  <conditionalFormatting sqref="K166:K167 W167 D73 B72:B73">
    <cfRule type="expression" dxfId="16" priority="891">
      <formula>$E$266</formula>
    </cfRule>
  </conditionalFormatting>
  <conditionalFormatting sqref="W136:W140 Q136:Q140 M136:M140 D41:D46 K136:K140 B40:B45">
    <cfRule type="expression" dxfId="15" priority="894">
      <formula>$E$262</formula>
    </cfRule>
  </conditionalFormatting>
  <conditionalFormatting sqref="D26 F26">
    <cfRule type="expression" dxfId="14" priority="900">
      <formula>$E$262</formula>
    </cfRule>
  </conditionalFormatting>
  <conditionalFormatting sqref="D27 F27">
    <cfRule type="expression" dxfId="13" priority="902">
      <formula>$E$263</formula>
    </cfRule>
  </conditionalFormatting>
  <conditionalFormatting sqref="D28 F28">
    <cfRule type="expression" dxfId="12" priority="904">
      <formula>$E$264</formula>
    </cfRule>
  </conditionalFormatting>
  <conditionalFormatting sqref="D29 F29">
    <cfRule type="expression" dxfId="11" priority="906">
      <formula>$E$265</formula>
    </cfRule>
  </conditionalFormatting>
  <conditionalFormatting sqref="D30 F30">
    <cfRule type="expression" dxfId="10" priority="908">
      <formula>$E$266</formula>
    </cfRule>
  </conditionalFormatting>
  <conditionalFormatting sqref="D31 F31">
    <cfRule type="expression" dxfId="9" priority="910">
      <formula>$E$267</formula>
    </cfRule>
  </conditionalFormatting>
  <conditionalFormatting sqref="D32 F32">
    <cfRule type="expression" dxfId="8" priority="912">
      <formula>$E$268</formula>
    </cfRule>
  </conditionalFormatting>
  <conditionalFormatting sqref="D33">
    <cfRule type="expression" dxfId="7" priority="914">
      <formula>$E$269</formula>
    </cfRule>
  </conditionalFormatting>
  <conditionalFormatting sqref="D34:D35 F34:F35">
    <cfRule type="expression" dxfId="6" priority="915">
      <formula>$E$270</formula>
    </cfRule>
  </conditionalFormatting>
  <conditionalFormatting sqref="D36 F36">
    <cfRule type="expression" dxfId="5" priority="917">
      <formula>$E$271</formula>
    </cfRule>
  </conditionalFormatting>
  <conditionalFormatting sqref="K172">
    <cfRule type="expression" dxfId="4" priority="4">
      <formula>$E$264</formula>
    </cfRule>
  </conditionalFormatting>
  <conditionalFormatting sqref="K170:K172">
    <cfRule type="expression" dxfId="3" priority="5">
      <formula>$E$269</formula>
    </cfRule>
  </conditionalFormatting>
  <conditionalFormatting sqref="L180">
    <cfRule type="expression" dxfId="2" priority="3">
      <formula>$E$267</formula>
    </cfRule>
  </conditionalFormatting>
  <conditionalFormatting sqref="P180">
    <cfRule type="expression" dxfId="1" priority="2">
      <formula>$E$267</formula>
    </cfRule>
  </conditionalFormatting>
  <conditionalFormatting sqref="V180">
    <cfRule type="expression" dxfId="0" priority="1">
      <formula>$E$267</formula>
    </cfRule>
  </conditionalFormatting>
  <dataValidations count="19">
    <dataValidation type="whole" errorStyle="warning" operator="equal" allowBlank="1" showErrorMessage="1" errorTitle="Waarschuwing" error="Het totaal van de verschillende soorten groenafval komt niet op 100%. Controleer of de ingevoerde gegevens kloppen." prompt="_x000a_" sqref="V215 V217" xr:uid="{00000000-0002-0000-0600-000001000000}">
      <formula1>100-V209-V211-V213</formula1>
    </dataValidation>
    <dataValidation type="whole" errorStyle="warning" operator="equal" allowBlank="1" showErrorMessage="1" errorTitle="Waarschuwing" error="Het totaal van de verschillende soorten groenafval komt niet op 100%. Controleer of de ingevoerde gegevens kloppen." prompt="_x000a_" sqref="L217 P217" xr:uid="{00000000-0002-0000-0600-000002000000}">
      <formula1>L207-L211-L213-L215-L209</formula1>
    </dataValidation>
    <dataValidation errorStyle="warning" operator="equal" allowBlank="1" showErrorMessage="1" errorTitle="Waarschuwing" error="Het totaal van de verschillende soorten groenafval komt niet op 100%. Controleer of de ingevoerde gegevens kloppen." prompt="_x000a_" sqref="L219 L225:M225 P225:Q225" xr:uid="{00000000-0002-0000-0600-000003000000}"/>
    <dataValidation type="whole" errorStyle="warning" operator="equal" allowBlank="1" showInputMessage="1" showErrorMessage="1" errorTitle="Waarschuwing" error="Het totaal van de verschillende soorten groenafval komt niet op 100%. Controleer of de ingevoerde gegevens kloppen." sqref="V209" xr:uid="{00000000-0002-0000-0600-000004000000}">
      <formula1>100-V211-V213-V215</formula1>
    </dataValidation>
    <dataValidation type="whole" errorStyle="warning" operator="equal" allowBlank="1" showInputMessage="1" showErrorMessage="1" errorTitle="Waarschuwing" error="Het totaal van de verschillende soorten groenafval komt niet op 100%. Controleer of de ingevoerde gegevens kloppen." sqref="P209 L209" xr:uid="{00000000-0002-0000-0600-000005000000}">
      <formula1>L207-L211-L213-L215-L217</formula1>
    </dataValidation>
    <dataValidation type="whole" errorStyle="warning" operator="equal" allowBlank="1" showInputMessage="1" showErrorMessage="1" errorTitle="Waarschuwing" error="Het totaal van de verschillende soorten groenafval komt niet op 100%. Controleer of de ingevoerde gegevens kloppen." sqref="V211" xr:uid="{00000000-0002-0000-0600-000006000000}">
      <formula1>100-V209-V213-V215</formula1>
    </dataValidation>
    <dataValidation type="whole" errorStyle="warning" operator="equal" allowBlank="1" showInputMessage="1" showErrorMessage="1" errorTitle="Waarschuwing" error="Het totaal van de verschillende soorten groenafval komt niet op 100%. Controleer of de ingevoerde gegevens kloppen." sqref="P211 L211" xr:uid="{00000000-0002-0000-0600-000007000000}">
      <formula1>L207-L209-L213-L215-L217</formula1>
    </dataValidation>
    <dataValidation type="whole" errorStyle="warning" operator="equal" allowBlank="1" showInputMessage="1" showErrorMessage="1" errorTitle="Waarschuwing" error="Het totaal van de verschillende soorten groenafval komt niet op 100%. Controleer of de ingevoerde gegevens kloppen." sqref="V213" xr:uid="{00000000-0002-0000-0600-000008000000}">
      <formula1>100-V209-V211-V215</formula1>
    </dataValidation>
    <dataValidation type="whole" errorStyle="warning" operator="equal" allowBlank="1" showErrorMessage="1" errorTitle="Waarschuwing" error="Het totaal van de verschillende soorten groenafval komt niet op 100%. Controleer of de ingevoerde gegevens kloppen." prompt="_x000a_" sqref="V219" xr:uid="{00000000-0002-0000-0600-000009000000}">
      <formula1>100-V211-V213-V215</formula1>
    </dataValidation>
    <dataValidation type="whole" errorStyle="warning" operator="equal" allowBlank="1" showInputMessage="1" showErrorMessage="1" errorTitle="Waarschuwing" error="Het totaal van de verschillende soorten groenafval komt niet op 100%. Controleer of de ingevoerde gegevens kloppen." sqref="P213 L213" xr:uid="{00000000-0002-0000-0600-00000A000000}">
      <formula1>L207-L209-L211-L215-L217</formula1>
    </dataValidation>
    <dataValidation type="whole" errorStyle="warning" operator="equal" allowBlank="1" showErrorMessage="1" errorTitle="Waarschuwing" error="Het totaal van de verschillende soorten groenafval komt niet op 100%. Controleer of de ingevoerde gegevens kloppen." prompt="_x000a_" sqref="P215 L215" xr:uid="{00000000-0002-0000-0600-00000B000000}">
      <formula1>L207-L209-L211-L213-L217</formula1>
    </dataValidation>
    <dataValidation type="decimal" errorStyle="warning" operator="lessThanOrEqual" showInputMessage="1" showErrorMessage="1" errorTitle="Let op!" error="Er mag in totaal maximaal 50% van de aangevoerde maaisels naar vergisting (co- en gft-vergisting), bokashi en kleine kringloop samen gaan. " sqref="D28" xr:uid="{AFD31F4B-787A-4540-A0B4-9456891B2F15}">
      <formula1>0.5*#REF!-D27-D29-D30</formula1>
    </dataValidation>
    <dataValidation type="decimal" errorStyle="warning" operator="lessThanOrEqual" showInputMessage="1" showErrorMessage="1" errorTitle="Let op!" error="Er mag in totaal maximaal 50% van de aangevoerde maaisels naar vergisting (co- en gft-vergisting), bokashi en kleine kringloop samen gaan. " sqref="D30" xr:uid="{518FB4D0-AFD4-4E23-8114-D6649A049010}">
      <formula1>0.5*#REF!-D27-D28-D29</formula1>
    </dataValidation>
    <dataValidation type="whole" errorStyle="warning" operator="lessThanOrEqual" showInputMessage="1" showErrorMessage="1" errorTitle="Let op!" error="Er mag in totaal maximaal 50% van de aangevoerde maaisels naar vergisting (co- en gft-vergisting), bokashi en kleine kringloop samen gaan. " sqref="D27" xr:uid="{36E1104B-78CF-4293-9B75-5A952D1E00A0}">
      <formula1>(0.5*#REF!)-D28-D29-D30</formula1>
    </dataValidation>
    <dataValidation type="whole" errorStyle="warning" operator="equal" allowBlank="1" showInputMessage="1" showErrorMessage="1" errorTitle="Waarschuwing" error="Het totale gewicht van het getransporteerde materiaal (met de verschillende vervoersmiddelen samen) is niet gelijk aan de totale hoeveelheid aangeleverd groenafval. Controleer of de ingevoerde gegevens kloppen. " sqref="C7" xr:uid="{EE317D92-1AE3-46AA-AFF4-CA0AE31D67FC}">
      <formula1>#REF!-C5-C6</formula1>
    </dataValidation>
    <dataValidation type="whole" errorStyle="warning" operator="equal" allowBlank="1" showInputMessage="1" showErrorMessage="1" errorTitle="Waarschuwing" error="Het totale gewicht van het getransporteerde materiaal (met de verschillende vervoersmiddelen samen) is niet gelijk aan de totale hoeveelheid aangeleverd groenafval. Controleer of de ingevoerde gegevens kloppen. " sqref="C6" xr:uid="{C6C660E9-0FC1-41E8-9C2D-701F0287A1A4}">
      <formula1>#REF!-C5-C7</formula1>
    </dataValidation>
    <dataValidation type="whole" errorStyle="warning" operator="equal" allowBlank="1" showErrorMessage="1" errorTitle="Waarschuwing" error="Het totale gewicht van het getransporteerde materiaal (met de verschillende vervoersmiddelen samen) is niet gelijk aan de totale hoeveelheid aangeleverd groenafval. Controleer of de ingevoerde gegevens kloppen. " promptTitle="Waarschuwing" sqref="C5" xr:uid="{66BB1339-F2C6-4959-9ED2-6F12AAB99752}">
      <formula1>#REF!-C6-C7</formula1>
    </dataValidation>
    <dataValidation type="decimal" errorStyle="warning" operator="lessThanOrEqual" showErrorMessage="1" errorTitle="Let op!" error="Er mag in totaal maximaal 50% van de aangevoerde maaisels naar vergisting (co- en gft-vergisting), bokashi en kleine kringloop samen gaan. " sqref="D29" xr:uid="{0AF76892-DA1E-4258-9AF7-6B1C3781D0E5}">
      <formula1>0.5*#REF!-D27-D28-D30</formula1>
    </dataValidation>
    <dataValidation type="decimal" errorStyle="warning" operator="lessThanOrEqual" allowBlank="1" showInputMessage="1" showErrorMessage="1" errorTitle="Foutmelding" error="Er gaat meer dan 100% van het sterk houtig materiaal naar de bio-energiecentrale. Controleer of deze gegevens kloppen." sqref="D26" xr:uid="{C90FB1B6-69D0-4CD0-8FAA-DD873F657E44}">
      <formula1>#REF!</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4D9F-8F9D-44FB-B27C-9D9C23595E67}">
  <sheetPr codeName="Blad5"/>
  <dimension ref="B2:E26"/>
  <sheetViews>
    <sheetView showRowColHeaders="0" zoomScaleNormal="100" workbookViewId="0"/>
  </sheetViews>
  <sheetFormatPr defaultRowHeight="15" x14ac:dyDescent="0.3"/>
  <cols>
    <col min="1" max="2" width="15.42578125" style="139" customWidth="1"/>
    <col min="3" max="4" width="25" style="139" customWidth="1"/>
    <col min="5" max="5" width="52.42578125" style="139" customWidth="1"/>
    <col min="6" max="16384" width="9.140625" style="139"/>
  </cols>
  <sheetData>
    <row r="2" spans="2:5" x14ac:dyDescent="0.3">
      <c r="B2" s="140" t="s">
        <v>308</v>
      </c>
      <c r="C2" s="140" t="s">
        <v>306</v>
      </c>
      <c r="D2" s="140" t="s">
        <v>310</v>
      </c>
      <c r="E2" s="141" t="s">
        <v>307</v>
      </c>
    </row>
    <row r="3" spans="2:5" ht="30" x14ac:dyDescent="0.3">
      <c r="B3" s="140" t="s">
        <v>309</v>
      </c>
      <c r="C3" s="143">
        <v>44927</v>
      </c>
      <c r="D3" s="143" t="s">
        <v>311</v>
      </c>
      <c r="E3" s="142" t="s">
        <v>312</v>
      </c>
    </row>
    <row r="4" spans="2:5" ht="45" x14ac:dyDescent="0.3">
      <c r="B4" s="140" t="s">
        <v>309</v>
      </c>
      <c r="C4" s="143">
        <v>44927</v>
      </c>
      <c r="D4" s="143" t="s">
        <v>313</v>
      </c>
      <c r="E4" s="142" t="s">
        <v>314</v>
      </c>
    </row>
    <row r="5" spans="2:5" ht="60" x14ac:dyDescent="0.3">
      <c r="B5" s="140" t="s">
        <v>309</v>
      </c>
      <c r="C5" s="143">
        <v>44927</v>
      </c>
      <c r="D5" s="143" t="s">
        <v>311</v>
      </c>
      <c r="E5" s="145" t="s">
        <v>317</v>
      </c>
    </row>
    <row r="6" spans="2:5" ht="30" x14ac:dyDescent="0.3">
      <c r="B6" s="173" t="s">
        <v>320</v>
      </c>
      <c r="C6" s="143">
        <v>44958</v>
      </c>
      <c r="D6" s="172" t="s">
        <v>313</v>
      </c>
      <c r="E6" s="172" t="s">
        <v>319</v>
      </c>
    </row>
    <row r="7" spans="2:5" x14ac:dyDescent="0.3">
      <c r="B7" s="140"/>
      <c r="C7" s="142"/>
      <c r="D7" s="142"/>
      <c r="E7" s="142"/>
    </row>
    <row r="8" spans="2:5" x14ac:dyDescent="0.3">
      <c r="B8" s="140"/>
      <c r="C8" s="142"/>
      <c r="D8" s="142"/>
      <c r="E8" s="142"/>
    </row>
    <row r="9" spans="2:5" x14ac:dyDescent="0.3">
      <c r="B9" s="140"/>
      <c r="C9" s="142"/>
      <c r="D9" s="142"/>
      <c r="E9" s="142"/>
    </row>
    <row r="10" spans="2:5" x14ac:dyDescent="0.3">
      <c r="B10" s="140"/>
      <c r="C10" s="142"/>
      <c r="D10" s="142"/>
      <c r="E10" s="142"/>
    </row>
    <row r="11" spans="2:5" x14ac:dyDescent="0.3">
      <c r="B11" s="140"/>
      <c r="C11" s="142"/>
      <c r="D11" s="142"/>
      <c r="E11" s="142"/>
    </row>
    <row r="12" spans="2:5" x14ac:dyDescent="0.3">
      <c r="B12" s="140"/>
      <c r="C12" s="142"/>
      <c r="D12" s="142"/>
      <c r="E12" s="142"/>
    </row>
    <row r="13" spans="2:5" x14ac:dyDescent="0.3">
      <c r="B13" s="140"/>
      <c r="C13" s="142"/>
      <c r="D13" s="142"/>
      <c r="E13" s="142"/>
    </row>
    <row r="14" spans="2:5" x14ac:dyDescent="0.3">
      <c r="B14" s="140"/>
      <c r="C14" s="142"/>
      <c r="D14" s="142"/>
      <c r="E14" s="142"/>
    </row>
    <row r="15" spans="2:5" x14ac:dyDescent="0.3">
      <c r="B15" s="140"/>
      <c r="C15" s="142"/>
      <c r="D15" s="142"/>
      <c r="E15" s="142"/>
    </row>
    <row r="16" spans="2:5" x14ac:dyDescent="0.3">
      <c r="B16" s="140"/>
      <c r="C16" s="142"/>
      <c r="D16" s="142"/>
      <c r="E16" s="142"/>
    </row>
    <row r="17" spans="2:5" x14ac:dyDescent="0.3">
      <c r="B17" s="140"/>
      <c r="C17" s="142"/>
      <c r="D17" s="142"/>
      <c r="E17" s="142"/>
    </row>
    <row r="18" spans="2:5" x14ac:dyDescent="0.3">
      <c r="B18" s="140"/>
      <c r="C18" s="142"/>
      <c r="D18" s="142"/>
      <c r="E18" s="142"/>
    </row>
    <row r="19" spans="2:5" x14ac:dyDescent="0.3">
      <c r="B19" s="140"/>
      <c r="C19" s="142"/>
      <c r="D19" s="142"/>
      <c r="E19" s="142"/>
    </row>
    <row r="20" spans="2:5" x14ac:dyDescent="0.3">
      <c r="B20" s="140"/>
      <c r="C20" s="142"/>
      <c r="D20" s="142"/>
      <c r="E20" s="142"/>
    </row>
    <row r="21" spans="2:5" x14ac:dyDescent="0.3">
      <c r="B21" s="140"/>
      <c r="C21" s="142"/>
      <c r="D21" s="142"/>
      <c r="E21" s="142"/>
    </row>
    <row r="22" spans="2:5" x14ac:dyDescent="0.3">
      <c r="B22" s="140"/>
      <c r="C22" s="142"/>
      <c r="D22" s="142"/>
      <c r="E22" s="142"/>
    </row>
    <row r="23" spans="2:5" x14ac:dyDescent="0.3">
      <c r="B23" s="140"/>
      <c r="C23" s="142"/>
      <c r="D23" s="142"/>
      <c r="E23" s="142"/>
    </row>
    <row r="24" spans="2:5" x14ac:dyDescent="0.3">
      <c r="B24" s="140"/>
      <c r="C24" s="142"/>
      <c r="D24" s="142"/>
      <c r="E24" s="142"/>
    </row>
    <row r="25" spans="2:5" x14ac:dyDescent="0.3">
      <c r="B25" s="140"/>
      <c r="C25" s="142"/>
      <c r="D25" s="142"/>
      <c r="E25" s="142"/>
    </row>
    <row r="26" spans="2:5" x14ac:dyDescent="0.3">
      <c r="B26" s="140"/>
      <c r="C26" s="142"/>
      <c r="D26" s="142"/>
      <c r="E26" s="142"/>
    </row>
  </sheetData>
  <sheetProtection algorithmName="SHA-512" hashValue="4ledQrmtsR8tZ7OXd/e7nniEnArTMaXRNcZ32+/VKxwNsjLpjsi5qC8MoerNsPdHwKQtoDebMmReDxPRBpgeEQ==" saltValue="a9a25BRKjEDphprXPEd6i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93e725-cb2e-488e-85ff-5b21d378642d" xsi:nil="true"/>
    <SureECM_ProjectNumber xmlns="3c93e725-cb2e-488e-85ff-5b21d378642d">200156</SureECM_ProjectNumber>
    <SureECM_ClientName xmlns="3c93e725-cb2e-488e-85ff-5b21d378642d">
      <UserInfo>
        <DisplayName/>
        <AccountId xsi:nil="true"/>
        <AccountType/>
      </UserInfo>
    </SureECM_ClientName>
    <lca88ee71ce7428c86da6846b19763e3 xmlns="3c93e725-cb2e-488e-85ff-5b21d378642d" xsi:nil="true"/>
    <SureECM_ProjectName xmlns="3c93e725-cb2e-488e-85ff-5b21d378642d">Duurzaam inkoop methodiek Groen afval BVOR</SureECM_ProjectName>
    <TaxKeywordTaxHTField xmlns="3c93e725-cb2e-488e-85ff-5b21d378642d">
      <Terms xmlns="http://schemas.microsoft.com/office/infopath/2007/PartnerControls"/>
    </TaxKeywordTaxHTField>
    <acf0689dc3b949abb655ab78c2e0f99c xmlns="3c93e725-cb2e-488e-85ff-5b21d378642d" xsi:nil="true"/>
    <SureECM_ProjectFaseTaxHTField0 xmlns="3c93e725-cb2e-488e-85ff-5b21d378642d">1344ddbc6-b8ca-4407-8593-4a569d0d2a68</SureECM_ProjectFaseTaxHTField0>
    <SureECM_ProjectLeader xmlns="3c93e725-cb2e-488e-85ff-5b21d378642d">
      <UserInfo>
        <DisplayName>Geert Bergsma</DisplayName>
        <AccountId>20</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ProjectDocument" ma:contentTypeID="0x0101006ADFA6159330124CBC7FC1847B6E6CC70100138A07E093A55B40921D5FE84C8FDABD" ma:contentTypeVersion="16" ma:contentTypeDescription="Een nieuw document maken." ma:contentTypeScope="" ma:versionID="a765adff1763efaa02ec3b79f0fc838d">
  <xsd:schema xmlns:xsd="http://www.w3.org/2001/XMLSchema" xmlns:xs="http://www.w3.org/2001/XMLSchema" xmlns:p="http://schemas.microsoft.com/office/2006/metadata/properties" xmlns:ns2="3c93e725-cb2e-488e-85ff-5b21d378642d" targetNamespace="http://schemas.microsoft.com/office/2006/metadata/properties" ma:root="true" ma:fieldsID="146bee20ff00c3b0691969fb3c42547d" ns2:_="">
    <xsd:import namespace="3c93e725-cb2e-488e-85ff-5b21d378642d"/>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3e725-cb2e-488e-85ff-5b21d378642d"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ma:readOnly="false">
      <xsd:simpleType>
        <xsd:restriction base="dms:Text"/>
      </xsd:simpleType>
    </xsd:element>
    <xsd:element name="SureECM_ProjectNumber" ma:index="9" nillable="true" ma:displayName="Projectnummer" ma:internalName="SureECM_ProjectNumber" ma:readOnly="false">
      <xsd:simpleType>
        <xsd:restriction base="dms:Text">
          <xsd:maxLength value="255"/>
        </xsd:restriction>
      </xsd:simpleType>
    </xsd:element>
    <xsd:element name="SureECM_ClientName" ma:index="10" nillable="true" ma:displayName="Opdrachtgever" ma:SharePointGroup="0" ma:internalName="SureECM_ClientNam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SharePointGroup="0" ma:internalName="SureECM_ProjectLead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displayName="SureECM_ProjectFase_0" ma:hidden="true" ma:internalName="SureECM_ProjectFaseTaxHTField0" ma:readOnly="false">
      <xsd:simpleType>
        <xsd:restriction base="dms:Note"/>
      </xsd:simpleType>
    </xsd:element>
    <xsd:element name="acf0689dc3b949abb655ab78c2e0f99c" ma:index="13" nillable="true" ma:displayName="Sector_0" ma:hidden="true" ma:internalName="acf0689dc3b949abb655ab78c2e0f99c" ma:readOnly="false">
      <xsd:simpleType>
        <xsd:restriction base="dms:Note"/>
      </xsd:simpleType>
    </xsd:element>
    <xsd:element name="TaxCatchAll" ma:index="14" nillable="true" ma:displayName="Taxonomy Catch All Column" ma:hidden="true" ma:list="{f7385855-e017-4615-8581-5c6e8c48abd1}" ma:internalName="TaxCatchAll" ma:readOnly="false" ma:showField="CatchAllData" ma:web="3c93e725-cb2e-488e-85ff-5b21d378642d">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7385855-e017-4615-8581-5c6e8c48abd1}" ma:internalName="TaxCatchAllLabel" ma:readOnly="true" ma:showField="CatchAllDataLabel" ma:web="3c93e725-cb2e-488e-85ff-5b21d378642d">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6" nillable="true" ma:displayName="Thema_0" ma:hidden="true" ma:internalName="lca88ee71ce7428c86da6846b19763e3" ma:readOnly="false">
      <xsd:simpleType>
        <xsd:restriction base="dms:Note"/>
      </xsd:simpleType>
    </xsd:element>
    <xsd:element name="TaxKeywordTaxHTField" ma:index="17" nillable="true" ma:taxonomy="true" ma:internalName="TaxKeywordTaxHTField" ma:taxonomyFieldName="TaxKeyword" ma:displayName="Ondernemingstrefwoorden" ma:readOnly="false" ma:fieldId="{23f27201-bee3-471e-b2e7-b64fd8b7ca38}" ma:taxonomyMulti="true" ma:sspId="08ce881e-de94-4a0f-8e3f-1ab24747485c"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F0ACD-F1B0-419C-8D56-A6230D36AD9C}">
  <ds:schemaRefs>
    <ds:schemaRef ds:uri="http://schemas.microsoft.com/sharepoint/v3/contenttype/forms"/>
  </ds:schemaRefs>
</ds:datastoreItem>
</file>

<file path=customXml/itemProps2.xml><?xml version="1.0" encoding="utf-8"?>
<ds:datastoreItem xmlns:ds="http://schemas.openxmlformats.org/officeDocument/2006/customXml" ds:itemID="{213A1B97-AE0C-449D-BA50-75BC08704989}">
  <ds:schemaRefs>
    <ds:schemaRef ds:uri="http://schemas.microsoft.com/office/2006/metadata/properties"/>
    <ds:schemaRef ds:uri="850f1e76-e290-4779-b859-23d729297c5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3c93e725-cb2e-488e-85ff-5b21d378642d"/>
  </ds:schemaRefs>
</ds:datastoreItem>
</file>

<file path=customXml/itemProps3.xml><?xml version="1.0" encoding="utf-8"?>
<ds:datastoreItem xmlns:ds="http://schemas.openxmlformats.org/officeDocument/2006/customXml" ds:itemID="{E61173A3-F904-47CC-BB32-9DE0D63F9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3e725-cb2e-488e-85ff-5b21d378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29</vt:i4>
      </vt:variant>
    </vt:vector>
  </HeadingPairs>
  <TitlesOfParts>
    <vt:vector size="34" baseType="lpstr">
      <vt:lpstr>1. Introductie</vt:lpstr>
      <vt:lpstr>2. Transport en voorbewerking</vt:lpstr>
      <vt:lpstr>3. Bewerking</vt:lpstr>
      <vt:lpstr>4. Resultaten</vt:lpstr>
      <vt:lpstr>5. Uitgebreide resultaten</vt:lpstr>
      <vt:lpstr>cb_alternatief</vt:lpstr>
      <vt:lpstr>cb_bokashi</vt:lpstr>
      <vt:lpstr>cb_compostering</vt:lpstr>
      <vt:lpstr>cb_hergebruik</vt:lpstr>
      <vt:lpstr>cb_hout_bio</vt:lpstr>
      <vt:lpstr>cb_klein_kring</vt:lpstr>
      <vt:lpstr>cb_maai_cogist</vt:lpstr>
      <vt:lpstr>cb_maai_gftgist</vt:lpstr>
      <vt:lpstr>cb_residu</vt:lpstr>
      <vt:lpstr>cb_rwzi</vt:lpstr>
      <vt:lpstr>cb_zeefgrond</vt:lpstr>
      <vt:lpstr>cell_alternatief</vt:lpstr>
      <vt:lpstr>cell_bokashi</vt:lpstr>
      <vt:lpstr>cell_compostering</vt:lpstr>
      <vt:lpstr>cell_hergebruik</vt:lpstr>
      <vt:lpstr>cell_hout_bio</vt:lpstr>
      <vt:lpstr>cell_klein_kring</vt:lpstr>
      <vt:lpstr>cell_maai_cogist</vt:lpstr>
      <vt:lpstr>cell_maai_cogist_afstand</vt:lpstr>
      <vt:lpstr>cell_maai_gftgist</vt:lpstr>
      <vt:lpstr>cell_residu</vt:lpstr>
      <vt:lpstr>cell_rwzi</vt:lpstr>
      <vt:lpstr>cell_zeefgrond</vt:lpstr>
      <vt:lpstr>criterium1</vt:lpstr>
      <vt:lpstr>criterium2</vt:lpstr>
      <vt:lpstr>criterium3</vt:lpstr>
      <vt:lpstr>criterium4</vt:lpstr>
      <vt:lpstr>naam_bedrijf</vt:lpstr>
      <vt:lpstr>totaal_groenafval</vt:lpstr>
    </vt:vector>
  </TitlesOfParts>
  <Manager/>
  <Company>CE Delft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Meis Uijttewaal</dc:creator>
  <cp:keywords/>
  <dc:description>Sjabloonversie 2.1, 6 juli 2018_x000d_
Ontwikkeling sjabloon en macro's:_x000d_
www.JoulesUnlimited.com</dc:description>
  <cp:lastModifiedBy>Meis Uijttewaal</cp:lastModifiedBy>
  <cp:lastPrinted>2023-01-10T14:09:28Z</cp:lastPrinted>
  <dcterms:created xsi:type="dcterms:W3CDTF">2017-07-07T07:42:55Z</dcterms:created>
  <dcterms:modified xsi:type="dcterms:W3CDTF">2023-02-09T11:50:14Z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0x0101006ADFA6159330124CBC7FC1847B6E6CC70100138A07E093A55B40921D5FE84C8FDABD</vt:lpwstr>
  </property>
  <property fmtid="{D5CDD505-2E9C-101B-9397-08002B2CF9AE}" pid="3" name="Sector">
    <vt:lpwstr/>
  </property>
  <property fmtid="{D5CDD505-2E9C-101B-9397-08002B2CF9AE}" pid="4" name="TaxKeyword">
    <vt:lpwstr/>
  </property>
  <property fmtid="{D5CDD505-2E9C-101B-9397-08002B2CF9AE}" pid="5" name="Thema">
    <vt:lpwstr/>
  </property>
  <property fmtid="{D5CDD505-2E9C-101B-9397-08002B2CF9AE}" pid="6" name="SureECM_ProjectFase">
    <vt:lpwstr>1;#1|344ddbc6-b8ca-4407-8593-4a569d0d2a68</vt:lpwstr>
  </property>
  <property fmtid="{D5CDD505-2E9C-101B-9397-08002B2CF9AE}" pid="7" name="Projectsite status">
    <vt:lpwstr>Actief</vt:lpwstr>
  </property>
  <property fmtid="{D5CDD505-2E9C-101B-9397-08002B2CF9AE}" pid="8" name="Klant">
    <vt:lpwstr>Onbekend</vt:lpwstr>
  </property>
  <property fmtid="{D5CDD505-2E9C-101B-9397-08002B2CF9AE}" pid="9" name="Status aanvraag">
    <vt:lpwstr/>
  </property>
  <property fmtid="{D5CDD505-2E9C-101B-9397-08002B2CF9AE}" pid="10" name="Interne redactieslag">
    <vt:lpwstr/>
  </property>
  <property fmtid="{D5CDD505-2E9C-101B-9397-08002B2CF9AE}" pid="11" name="Status budget">
    <vt:lpwstr/>
  </property>
  <property fmtid="{D5CDD505-2E9C-101B-9397-08002B2CF9AE}" pid="12" name="Interne review rapport">
    <vt:lpwstr/>
  </property>
  <property fmtid="{D5CDD505-2E9C-101B-9397-08002B2CF9AE}" pid="13" name="jaar van uitgave">
    <vt:lpwstr/>
  </property>
  <property fmtid="{D5CDD505-2E9C-101B-9397-08002B2CF9AE}" pid="14" name="Briefnr">
    <vt:lpwstr/>
  </property>
  <property fmtid="{D5CDD505-2E9C-101B-9397-08002B2CF9AE}" pid="15" name="Factuurnr">
    <vt:lpwstr/>
  </property>
  <property fmtid="{D5CDD505-2E9C-101B-9397-08002B2CF9AE}" pid="16" name="Documentstatus">
    <vt:lpwstr/>
  </property>
  <property fmtid="{D5CDD505-2E9C-101B-9397-08002B2CF9AE}" pid="17" name="Status offerte">
    <vt:lpwstr/>
  </property>
  <property fmtid="{D5CDD505-2E9C-101B-9397-08002B2CF9AE}" pid="18" name="Korte samenvatting">
    <vt:lpwstr/>
  </property>
  <property fmtid="{D5CDD505-2E9C-101B-9397-08002B2CF9AE}" pid="19" name="Referencenumber tender">
    <vt:lpwstr/>
  </property>
  <property fmtid="{D5CDD505-2E9C-101B-9397-08002B2CF9AE}" pid="20" name="Refnr klant">
    <vt:lpwstr/>
  </property>
  <property fmtid="{D5CDD505-2E9C-101B-9397-08002B2CF9AE}" pid="21" name="Auteur/uitgever">
    <vt:lpwstr/>
  </property>
</Properties>
</file>